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входящие\!ОБЪЕКТЫ КРУПНОГО СТРОИТЕЛЬСТВА\ПС Мокшан\КС2 КС3\март 2019\"/>
    </mc:Choice>
  </mc:AlternateContent>
  <bookViews>
    <workbookView xWindow="240" yWindow="60" windowWidth="8460" windowHeight="6030"/>
  </bookViews>
  <sheets>
    <sheet name="Журнал учета выполненных работ" sheetId="1" r:id="rId1"/>
  </sheets>
  <definedNames>
    <definedName name="_xlnm.Print_Titles" localSheetId="0">'Журнал учета выполненных работ'!$43:$46</definedName>
  </definedNames>
  <calcPr calcId="162913" fullCalcOnLoad="1"/>
</workbook>
</file>

<file path=xl/calcChain.xml><?xml version="1.0" encoding="utf-8"?>
<calcChain xmlns="http://schemas.openxmlformats.org/spreadsheetml/2006/main">
  <c r="J663" i="1" l="1"/>
  <c r="K663" i="1"/>
  <c r="M663" i="1"/>
  <c r="N663" i="1"/>
  <c r="P663" i="1"/>
  <c r="Q663" i="1"/>
  <c r="S663" i="1"/>
  <c r="U663" i="1"/>
  <c r="H663" i="1"/>
  <c r="J662" i="1"/>
  <c r="K662" i="1"/>
  <c r="M662" i="1"/>
  <c r="N662" i="1"/>
  <c r="P662" i="1"/>
  <c r="Q662" i="1"/>
  <c r="S662" i="1"/>
  <c r="U662" i="1"/>
  <c r="H662" i="1"/>
  <c r="U659" i="1"/>
  <c r="S659" i="1"/>
  <c r="Q659" i="1"/>
  <c r="P659" i="1"/>
  <c r="N659" i="1"/>
  <c r="M659" i="1"/>
  <c r="K659" i="1"/>
  <c r="J659" i="1"/>
  <c r="H659" i="1"/>
  <c r="U661" i="1"/>
  <c r="U660" i="1"/>
  <c r="U658" i="1"/>
  <c r="U657" i="1"/>
  <c r="U656" i="1"/>
  <c r="S661" i="1"/>
  <c r="S660" i="1"/>
  <c r="S658" i="1"/>
  <c r="S657" i="1"/>
  <c r="S656" i="1"/>
  <c r="Q661" i="1"/>
  <c r="Q660" i="1"/>
  <c r="Q658" i="1"/>
  <c r="Q657" i="1"/>
  <c r="Q656" i="1"/>
  <c r="P661" i="1"/>
  <c r="P660" i="1"/>
  <c r="P658" i="1"/>
  <c r="P657" i="1"/>
  <c r="P656" i="1"/>
  <c r="N661" i="1"/>
  <c r="N660" i="1"/>
  <c r="N658" i="1"/>
  <c r="N657" i="1"/>
  <c r="N656" i="1"/>
  <c r="M661" i="1"/>
  <c r="M660" i="1"/>
  <c r="M658" i="1"/>
  <c r="M657" i="1"/>
  <c r="M656" i="1"/>
  <c r="K661" i="1"/>
  <c r="K660" i="1"/>
  <c r="K658" i="1"/>
  <c r="K657" i="1"/>
  <c r="K656" i="1"/>
  <c r="J661" i="1"/>
  <c r="J660" i="1"/>
  <c r="J658" i="1"/>
  <c r="J657" i="1"/>
  <c r="J656" i="1"/>
  <c r="H661" i="1"/>
  <c r="H660" i="1"/>
  <c r="H658" i="1"/>
  <c r="H657" i="1"/>
  <c r="H656" i="1"/>
  <c r="S647" i="1"/>
  <c r="S648" i="1"/>
  <c r="S649" i="1"/>
  <c r="S650" i="1"/>
  <c r="S651" i="1"/>
  <c r="S652" i="1"/>
  <c r="S653" i="1"/>
  <c r="S646" i="1"/>
  <c r="Q647" i="1"/>
  <c r="Q648" i="1"/>
  <c r="Q649" i="1"/>
  <c r="Q650" i="1"/>
  <c r="Q651" i="1"/>
  <c r="Q652" i="1"/>
  <c r="Q653" i="1"/>
  <c r="Q646" i="1"/>
  <c r="N653" i="1"/>
  <c r="N647" i="1"/>
  <c r="N648" i="1"/>
  <c r="N649" i="1"/>
  <c r="N650" i="1"/>
  <c r="N651" i="1"/>
  <c r="N652" i="1"/>
  <c r="N646" i="1"/>
  <c r="M647" i="1"/>
  <c r="M648" i="1"/>
  <c r="M649" i="1"/>
  <c r="M650" i="1"/>
  <c r="M651" i="1"/>
  <c r="M652" i="1"/>
  <c r="M653" i="1"/>
  <c r="M646" i="1"/>
  <c r="H653" i="1"/>
  <c r="H652" i="1"/>
  <c r="H651" i="1"/>
  <c r="H650" i="1"/>
  <c r="H649" i="1"/>
  <c r="H648" i="1"/>
  <c r="H647" i="1"/>
  <c r="H646" i="1"/>
  <c r="U638" i="1"/>
  <c r="U637" i="1"/>
  <c r="U632" i="1"/>
  <c r="U631" i="1"/>
  <c r="H638" i="1"/>
  <c r="H637" i="1"/>
  <c r="H632" i="1"/>
  <c r="H631" i="1"/>
  <c r="U596" i="1"/>
  <c r="U595" i="1"/>
  <c r="U590" i="1"/>
  <c r="U589" i="1"/>
  <c r="H596" i="1"/>
  <c r="H595" i="1"/>
  <c r="H590" i="1"/>
  <c r="H589" i="1"/>
  <c r="U582" i="1"/>
  <c r="U581" i="1"/>
  <c r="U576" i="1"/>
  <c r="U575" i="1"/>
  <c r="H582" i="1"/>
  <c r="H581" i="1"/>
  <c r="H576" i="1"/>
  <c r="H575" i="1"/>
  <c r="U554" i="1"/>
  <c r="U553" i="1"/>
  <c r="U550" i="1"/>
  <c r="U546" i="1"/>
  <c r="H554" i="1"/>
  <c r="H553" i="1"/>
  <c r="H550" i="1"/>
  <c r="H546" i="1"/>
  <c r="U525" i="1"/>
  <c r="U524" i="1"/>
  <c r="U521" i="1"/>
  <c r="U517" i="1"/>
  <c r="H525" i="1"/>
  <c r="H524" i="1"/>
  <c r="H521" i="1"/>
  <c r="H517" i="1"/>
  <c r="S511" i="1"/>
  <c r="S510" i="1"/>
  <c r="S507" i="1"/>
  <c r="S503" i="1"/>
  <c r="Q511" i="1"/>
  <c r="Q510" i="1"/>
  <c r="Q507" i="1"/>
  <c r="Q503" i="1"/>
  <c r="N511" i="1"/>
  <c r="N510" i="1"/>
  <c r="N507" i="1"/>
  <c r="N503" i="1"/>
  <c r="K511" i="1"/>
  <c r="K510" i="1"/>
  <c r="K507" i="1"/>
  <c r="K503" i="1"/>
  <c r="J511" i="1"/>
  <c r="J510" i="1"/>
  <c r="J507" i="1"/>
  <c r="J503" i="1"/>
  <c r="H511" i="1"/>
  <c r="H510" i="1"/>
  <c r="H507" i="1"/>
  <c r="H503" i="1"/>
  <c r="U491" i="1"/>
  <c r="U492" i="1"/>
  <c r="U493" i="1"/>
  <c r="U494" i="1"/>
  <c r="U495" i="1"/>
  <c r="U496" i="1"/>
  <c r="U497" i="1"/>
  <c r="U490" i="1"/>
  <c r="H497" i="1"/>
  <c r="H496" i="1"/>
  <c r="H495" i="1"/>
  <c r="H494" i="1"/>
  <c r="H493" i="1"/>
  <c r="H492" i="1"/>
  <c r="H491" i="1"/>
  <c r="H490" i="1"/>
  <c r="U465" i="1"/>
  <c r="U466" i="1"/>
  <c r="U467" i="1"/>
  <c r="U468" i="1"/>
  <c r="U469" i="1"/>
  <c r="U470" i="1"/>
  <c r="U471" i="1"/>
  <c r="U464" i="1"/>
  <c r="H471" i="1"/>
  <c r="H470" i="1"/>
  <c r="H469" i="1"/>
  <c r="H468" i="1"/>
  <c r="H467" i="1"/>
  <c r="H466" i="1"/>
  <c r="H465" i="1"/>
  <c r="H464" i="1"/>
  <c r="S452" i="1"/>
  <c r="S453" i="1"/>
  <c r="S454" i="1"/>
  <c r="S455" i="1"/>
  <c r="S456" i="1"/>
  <c r="S457" i="1"/>
  <c r="S458" i="1"/>
  <c r="S451" i="1"/>
  <c r="Q452" i="1"/>
  <c r="Q453" i="1"/>
  <c r="Q454" i="1"/>
  <c r="Q455" i="1"/>
  <c r="Q456" i="1"/>
  <c r="Q457" i="1"/>
  <c r="Q458" i="1"/>
  <c r="Q451" i="1"/>
  <c r="N452" i="1"/>
  <c r="N453" i="1"/>
  <c r="N454" i="1"/>
  <c r="N455" i="1"/>
  <c r="N456" i="1"/>
  <c r="N457" i="1"/>
  <c r="N458" i="1"/>
  <c r="N451" i="1"/>
  <c r="K452" i="1"/>
  <c r="K453" i="1"/>
  <c r="K454" i="1"/>
  <c r="K455" i="1"/>
  <c r="K456" i="1"/>
  <c r="K457" i="1"/>
  <c r="K458" i="1"/>
  <c r="K451" i="1"/>
  <c r="J452" i="1"/>
  <c r="J453" i="1"/>
  <c r="J454" i="1"/>
  <c r="J455" i="1"/>
  <c r="J456" i="1"/>
  <c r="J457" i="1"/>
  <c r="J458" i="1"/>
  <c r="J451" i="1"/>
  <c r="H458" i="1"/>
  <c r="H457" i="1"/>
  <c r="H456" i="1"/>
  <c r="H455" i="1"/>
  <c r="H454" i="1"/>
  <c r="H453" i="1"/>
  <c r="H452" i="1"/>
  <c r="H451" i="1"/>
  <c r="U439" i="1"/>
  <c r="U440" i="1"/>
  <c r="U441" i="1"/>
  <c r="U442" i="1"/>
  <c r="U443" i="1"/>
  <c r="U444" i="1"/>
  <c r="U445" i="1"/>
  <c r="U438" i="1"/>
  <c r="H445" i="1"/>
  <c r="H444" i="1"/>
  <c r="H443" i="1"/>
  <c r="H442" i="1"/>
  <c r="H441" i="1"/>
  <c r="H440" i="1"/>
  <c r="H439" i="1"/>
  <c r="U418" i="1"/>
  <c r="U417" i="1"/>
  <c r="U412" i="1"/>
  <c r="U411" i="1"/>
  <c r="H418" i="1"/>
  <c r="H417" i="1"/>
  <c r="H412" i="1"/>
  <c r="H411" i="1"/>
  <c r="U391" i="1"/>
  <c r="U390" i="1"/>
  <c r="U385" i="1"/>
  <c r="U384" i="1"/>
  <c r="H391" i="1"/>
  <c r="H390" i="1"/>
  <c r="H385" i="1"/>
  <c r="H384" i="1"/>
  <c r="U372" i="1"/>
  <c r="U371" i="1"/>
  <c r="U366" i="1"/>
  <c r="U365" i="1"/>
  <c r="H372" i="1"/>
  <c r="H371" i="1"/>
  <c r="H366" i="1"/>
  <c r="H365" i="1"/>
  <c r="S355" i="1"/>
  <c r="S354" i="1"/>
  <c r="S351" i="1"/>
  <c r="S347" i="1"/>
  <c r="Q355" i="1"/>
  <c r="Q354" i="1"/>
  <c r="Q351" i="1"/>
  <c r="Q347" i="1"/>
  <c r="P355" i="1"/>
  <c r="P354" i="1"/>
  <c r="P351" i="1"/>
  <c r="P347" i="1"/>
  <c r="H355" i="1"/>
  <c r="H354" i="1"/>
  <c r="H351" i="1"/>
  <c r="H347" i="1"/>
  <c r="U343" i="1"/>
  <c r="U342" i="1"/>
  <c r="U339" i="1"/>
  <c r="U335" i="1"/>
  <c r="H343" i="1"/>
  <c r="H342" i="1"/>
  <c r="H339" i="1"/>
  <c r="H335" i="1"/>
  <c r="U327" i="1"/>
  <c r="U326" i="1"/>
  <c r="U323" i="1"/>
  <c r="U319" i="1"/>
  <c r="H327" i="1"/>
  <c r="H326" i="1"/>
  <c r="H323" i="1"/>
  <c r="H319" i="1"/>
  <c r="S313" i="1"/>
  <c r="S312" i="1"/>
  <c r="S309" i="1"/>
  <c r="S305" i="1"/>
  <c r="Q313" i="1"/>
  <c r="Q312" i="1"/>
  <c r="Q309" i="1"/>
  <c r="Q305" i="1"/>
  <c r="N313" i="1"/>
  <c r="N312" i="1"/>
  <c r="N309" i="1"/>
  <c r="N305" i="1"/>
  <c r="K313" i="1"/>
  <c r="K312" i="1"/>
  <c r="K309" i="1"/>
  <c r="K305" i="1"/>
  <c r="J313" i="1"/>
  <c r="J312" i="1"/>
  <c r="J309" i="1"/>
  <c r="J305" i="1"/>
  <c r="H313" i="1"/>
  <c r="H312" i="1"/>
  <c r="H309" i="1"/>
  <c r="H305" i="1"/>
  <c r="U301" i="1"/>
  <c r="U300" i="1"/>
  <c r="U297" i="1"/>
  <c r="U293" i="1"/>
  <c r="H301" i="1"/>
  <c r="H300" i="1"/>
  <c r="H297" i="1"/>
  <c r="H293" i="1"/>
  <c r="U288" i="1"/>
  <c r="U287" i="1"/>
  <c r="U284" i="1"/>
  <c r="U280" i="1"/>
  <c r="H288" i="1"/>
  <c r="H287" i="1"/>
  <c r="H284" i="1"/>
  <c r="H280" i="1"/>
  <c r="S276" i="1"/>
  <c r="S275" i="1"/>
  <c r="S272" i="1"/>
  <c r="S268" i="1"/>
  <c r="Q276" i="1"/>
  <c r="Q275" i="1"/>
  <c r="Q272" i="1"/>
  <c r="Q268" i="1"/>
  <c r="P276" i="1"/>
  <c r="P275" i="1"/>
  <c r="P272" i="1"/>
  <c r="P268" i="1"/>
  <c r="H276" i="1"/>
  <c r="H275" i="1"/>
  <c r="H272" i="1"/>
  <c r="H268" i="1"/>
  <c r="S256" i="1"/>
  <c r="S255" i="1"/>
  <c r="S252" i="1"/>
  <c r="S248" i="1"/>
  <c r="Q256" i="1"/>
  <c r="Q255" i="1"/>
  <c r="Q252" i="1"/>
  <c r="Q248" i="1"/>
  <c r="N256" i="1"/>
  <c r="N255" i="1"/>
  <c r="N252" i="1"/>
  <c r="N248" i="1"/>
  <c r="M256" i="1"/>
  <c r="M255" i="1"/>
  <c r="M252" i="1"/>
  <c r="M248" i="1"/>
  <c r="H256" i="1"/>
  <c r="H255" i="1"/>
  <c r="H252" i="1"/>
  <c r="H248" i="1"/>
  <c r="S234" i="1"/>
  <c r="S233" i="1"/>
  <c r="S230" i="1"/>
  <c r="S226" i="1"/>
  <c r="Q234" i="1"/>
  <c r="Q233" i="1"/>
  <c r="Q230" i="1"/>
  <c r="Q226" i="1"/>
  <c r="N234" i="1"/>
  <c r="N233" i="1"/>
  <c r="N230" i="1"/>
  <c r="N226" i="1"/>
  <c r="K234" i="1"/>
  <c r="K233" i="1"/>
  <c r="K230" i="1"/>
  <c r="K226" i="1"/>
  <c r="J234" i="1"/>
  <c r="J233" i="1"/>
  <c r="J230" i="1"/>
  <c r="J226" i="1"/>
  <c r="H234" i="1"/>
  <c r="H233" i="1"/>
  <c r="H230" i="1"/>
  <c r="H226" i="1"/>
  <c r="S212" i="1"/>
  <c r="S213" i="1"/>
  <c r="S214" i="1"/>
  <c r="S215" i="1"/>
  <c r="S216" i="1"/>
  <c r="S217" i="1"/>
  <c r="S218" i="1"/>
  <c r="S211" i="1"/>
  <c r="Q212" i="1"/>
  <c r="Q213" i="1"/>
  <c r="Q214" i="1"/>
  <c r="Q215" i="1"/>
  <c r="Q216" i="1"/>
  <c r="Q217" i="1"/>
  <c r="Q218" i="1"/>
  <c r="Q211" i="1"/>
  <c r="P212" i="1"/>
  <c r="P213" i="1"/>
  <c r="P214" i="1"/>
  <c r="P215" i="1"/>
  <c r="P216" i="1"/>
  <c r="P217" i="1"/>
  <c r="P218" i="1"/>
  <c r="P211" i="1"/>
  <c r="H218" i="1"/>
  <c r="H217" i="1"/>
  <c r="H216" i="1"/>
  <c r="H215" i="1"/>
  <c r="H214" i="1"/>
  <c r="H213" i="1"/>
  <c r="H212" i="1"/>
  <c r="H211" i="1"/>
  <c r="U196" i="1"/>
  <c r="U197" i="1"/>
  <c r="U198" i="1"/>
  <c r="U199" i="1"/>
  <c r="U200" i="1"/>
  <c r="U201" i="1"/>
  <c r="U202" i="1"/>
  <c r="U195" i="1"/>
  <c r="H202" i="1"/>
  <c r="H201" i="1"/>
  <c r="H200" i="1"/>
  <c r="H199" i="1"/>
  <c r="H198" i="1"/>
  <c r="H197" i="1"/>
  <c r="H196" i="1"/>
  <c r="H195" i="1"/>
  <c r="H187" i="1"/>
  <c r="U181" i="1"/>
  <c r="U182" i="1"/>
  <c r="U183" i="1"/>
  <c r="U184" i="1"/>
  <c r="U185" i="1"/>
  <c r="U186" i="1"/>
  <c r="U187" i="1"/>
  <c r="U180" i="1"/>
  <c r="H186" i="1"/>
  <c r="H185" i="1"/>
  <c r="H184" i="1"/>
  <c r="H183" i="1"/>
  <c r="H182" i="1"/>
  <c r="H181" i="1"/>
  <c r="H180" i="1"/>
  <c r="S166" i="1"/>
  <c r="S167" i="1"/>
  <c r="S168" i="1"/>
  <c r="S169" i="1"/>
  <c r="S170" i="1"/>
  <c r="S171" i="1"/>
  <c r="S172" i="1"/>
  <c r="S165" i="1"/>
  <c r="Q172" i="1"/>
  <c r="Q171" i="1"/>
  <c r="Q170" i="1"/>
  <c r="Q169" i="1"/>
  <c r="Q168" i="1"/>
  <c r="Q167" i="1"/>
  <c r="Q166" i="1"/>
  <c r="Q165" i="1"/>
  <c r="N172" i="1"/>
  <c r="N171" i="1"/>
  <c r="N170" i="1"/>
  <c r="N169" i="1"/>
  <c r="N168" i="1"/>
  <c r="N167" i="1"/>
  <c r="N166" i="1"/>
  <c r="N165" i="1"/>
  <c r="K172" i="1"/>
  <c r="K171" i="1"/>
  <c r="K170" i="1"/>
  <c r="K169" i="1"/>
  <c r="K168" i="1"/>
  <c r="K167" i="1"/>
  <c r="K166" i="1"/>
  <c r="K165" i="1"/>
  <c r="J172" i="1"/>
  <c r="J171" i="1"/>
  <c r="J170" i="1"/>
  <c r="J169" i="1"/>
  <c r="J168" i="1"/>
  <c r="J167" i="1"/>
  <c r="J166" i="1"/>
  <c r="J165" i="1"/>
  <c r="H172" i="1"/>
  <c r="H171" i="1"/>
  <c r="H170" i="1"/>
  <c r="H169" i="1"/>
  <c r="H168" i="1"/>
  <c r="H167" i="1"/>
  <c r="H166" i="1"/>
  <c r="H165" i="1"/>
  <c r="U160" i="1"/>
  <c r="U159" i="1"/>
  <c r="U158" i="1"/>
  <c r="U157" i="1"/>
  <c r="U156" i="1"/>
  <c r="U155" i="1"/>
  <c r="U154" i="1"/>
  <c r="U153" i="1"/>
  <c r="H160" i="1"/>
  <c r="H159" i="1"/>
  <c r="H158" i="1"/>
  <c r="H157" i="1"/>
  <c r="H156" i="1"/>
  <c r="H155" i="1"/>
  <c r="H154" i="1"/>
  <c r="H153" i="1"/>
  <c r="S147" i="1"/>
  <c r="S146" i="1"/>
  <c r="S145" i="1"/>
  <c r="S144" i="1"/>
  <c r="S143" i="1"/>
  <c r="S142" i="1"/>
  <c r="S141" i="1"/>
  <c r="S140" i="1"/>
  <c r="Q147" i="1"/>
  <c r="Q146" i="1"/>
  <c r="Q145" i="1"/>
  <c r="Q144" i="1"/>
  <c r="Q143" i="1"/>
  <c r="Q142" i="1"/>
  <c r="Q141" i="1"/>
  <c r="Q140" i="1"/>
  <c r="P147" i="1"/>
  <c r="P146" i="1"/>
  <c r="P145" i="1"/>
  <c r="P144" i="1"/>
  <c r="P143" i="1"/>
  <c r="P142" i="1"/>
  <c r="P141" i="1"/>
  <c r="P140" i="1"/>
  <c r="H147" i="1"/>
  <c r="H146" i="1"/>
  <c r="H145" i="1"/>
  <c r="H144" i="1"/>
  <c r="H143" i="1"/>
  <c r="H142" i="1"/>
  <c r="H141" i="1"/>
  <c r="H140" i="1"/>
  <c r="U133" i="1"/>
  <c r="U132" i="1"/>
  <c r="U131" i="1"/>
  <c r="U130" i="1"/>
  <c r="U129" i="1"/>
  <c r="U128" i="1"/>
  <c r="U127" i="1"/>
  <c r="U126" i="1"/>
  <c r="H133" i="1"/>
  <c r="H132" i="1"/>
  <c r="H131" i="1"/>
  <c r="H130" i="1"/>
  <c r="H129" i="1"/>
  <c r="H128" i="1"/>
  <c r="H127" i="1"/>
  <c r="H126" i="1"/>
  <c r="H87" i="1"/>
  <c r="H86" i="1"/>
  <c r="H85" i="1"/>
  <c r="H84" i="1"/>
  <c r="H83" i="1"/>
  <c r="H82" i="1"/>
  <c r="H81" i="1"/>
  <c r="H80" i="1"/>
  <c r="U87" i="1"/>
  <c r="U86" i="1"/>
  <c r="U85" i="1"/>
  <c r="U84" i="1"/>
  <c r="U83" i="1"/>
  <c r="U82" i="1"/>
  <c r="U81" i="1"/>
  <c r="U80" i="1"/>
  <c r="S65" i="1"/>
  <c r="S64" i="1"/>
  <c r="S63" i="1"/>
  <c r="S62" i="1"/>
  <c r="S61" i="1"/>
  <c r="S60" i="1"/>
  <c r="S59" i="1"/>
  <c r="S58" i="1"/>
  <c r="Q65" i="1"/>
  <c r="Q64" i="1"/>
  <c r="Q63" i="1"/>
  <c r="Q62" i="1"/>
  <c r="Q61" i="1"/>
  <c r="Q60" i="1"/>
  <c r="Q59" i="1"/>
  <c r="Q58" i="1"/>
  <c r="N65" i="1"/>
  <c r="N64" i="1"/>
  <c r="N63" i="1"/>
  <c r="N62" i="1"/>
  <c r="N61" i="1"/>
  <c r="N60" i="1"/>
  <c r="N59" i="1"/>
  <c r="N58" i="1"/>
  <c r="K65" i="1"/>
  <c r="K64" i="1"/>
  <c r="K63" i="1"/>
  <c r="K62" i="1"/>
  <c r="K61" i="1"/>
  <c r="K60" i="1"/>
  <c r="K59" i="1"/>
  <c r="K58" i="1"/>
  <c r="J65" i="1"/>
  <c r="J64" i="1"/>
  <c r="J63" i="1"/>
  <c r="J62" i="1"/>
  <c r="J61" i="1"/>
  <c r="J60" i="1"/>
  <c r="J59" i="1"/>
  <c r="J58" i="1"/>
  <c r="H65" i="1"/>
  <c r="H64" i="1"/>
  <c r="H63" i="1"/>
  <c r="H62" i="1"/>
  <c r="H61" i="1"/>
  <c r="H60" i="1"/>
  <c r="H59" i="1"/>
  <c r="H58" i="1"/>
</calcChain>
</file>

<file path=xl/sharedStrings.xml><?xml version="1.0" encoding="utf-8"?>
<sst xmlns="http://schemas.openxmlformats.org/spreadsheetml/2006/main" count="1394" uniqueCount="645">
  <si>
    <t>ЖУРНАЛ УЧЕТА ВЫПОЛНЕННЫХ РАБОТ</t>
  </si>
  <si>
    <t>Утверждена постановлением Госкомстата России</t>
  </si>
  <si>
    <t>от 11 ноября 1999 года №100</t>
  </si>
  <si>
    <t>Код</t>
  </si>
  <si>
    <t>Форма по ОКУД</t>
  </si>
  <si>
    <t>по ОКПО</t>
  </si>
  <si>
    <t>Вид деятельности по ОКДП</t>
  </si>
  <si>
    <t>Договор подряда (контракт)</t>
  </si>
  <si>
    <t>номер</t>
  </si>
  <si>
    <t>дата</t>
  </si>
  <si>
    <t>Вид операции</t>
  </si>
  <si>
    <t>Унифицированная форма № КС-6а</t>
  </si>
  <si>
    <t>Сметная (договорная) стоимость в соответствии с договором подряда</t>
  </si>
  <si>
    <t>(субподряда)</t>
  </si>
  <si>
    <t>организация, адрес, телефон, факс</t>
  </si>
  <si>
    <t>наименование, адрес</t>
  </si>
  <si>
    <t>наименование</t>
  </si>
  <si>
    <t>Номер</t>
  </si>
  <si>
    <t>Конструктивные элементы и видыработ</t>
  </si>
  <si>
    <t>Номер единичной расценки</t>
  </si>
  <si>
    <t>Цена за единицу, руб</t>
  </si>
  <si>
    <t>Составил</t>
  </si>
  <si>
    <t>Проверил</t>
  </si>
  <si>
    <t>должность</t>
  </si>
  <si>
    <t>подпись</t>
  </si>
  <si>
    <t>расшифровка подписи</t>
  </si>
  <si>
    <t xml:space="preserve"> </t>
  </si>
  <si>
    <t xml:space="preserve">Заказчик: </t>
  </si>
  <si>
    <t xml:space="preserve">Подрядчик: </t>
  </si>
  <si>
    <t xml:space="preserve">Объект: </t>
  </si>
  <si>
    <t xml:space="preserve">на </t>
  </si>
  <si>
    <t>(наименование работ и затрат)</t>
  </si>
  <si>
    <t>Единица измере-
ния</t>
  </si>
  <si>
    <t>Коли-
чество работ по смете</t>
  </si>
  <si>
    <t>Сметная (договор-
ная) стои-
мость, руб</t>
  </si>
  <si>
    <t>п.п.</t>
  </si>
  <si>
    <t>поз. по сме-
те</t>
  </si>
  <si>
    <t>коли-
чество</t>
  </si>
  <si>
    <t>стои-
мость</t>
  </si>
  <si>
    <t>стои-
мость факти-
чески выпол-
ненных работ с начала строит-ва, руб</t>
  </si>
  <si>
    <t>Январь 2019 года</t>
  </si>
  <si>
    <t>Февраль 2019 года</t>
  </si>
  <si>
    <t>Март 2019 года</t>
  </si>
  <si>
    <t>c Января 2019 года по Март 2019 года</t>
  </si>
  <si>
    <t>Выполнено работ</t>
  </si>
  <si>
    <t>Остаток работ на Апрель 2019 года</t>
  </si>
  <si>
    <t>с начала строительства</t>
  </si>
  <si>
    <t>Раздел 1. Монтажные работы 4 этап</t>
  </si>
  <si>
    <t>КТПБ 110кВ</t>
  </si>
  <si>
    <t>Блок разъединителя 3-х полюсный с 2 з.н. - 2 шт</t>
  </si>
  <si>
    <t>1</t>
  </si>
  <si>
    <t>Металлические конструкции (Для Блок разъединителя 3-х полюсный с 2 з.н.)
1 740,55 = 13 355,55 - 1 x 11 615,00</t>
  </si>
  <si>
    <r>
      <t>Металлические конструкции (Для Блок разъединителя 3-х полюсный с 2 з.н.)</t>
    </r>
    <r>
      <rPr>
        <i/>
        <sz val="10"/>
        <rFont val="Arial"/>
        <family val="2"/>
        <charset val="204"/>
      </rPr>
      <t xml:space="preserve">
1 740,55 = 13 355,55 - 1 x 11 615,00</t>
    </r>
  </si>
  <si>
    <t xml:space="preserve">ТЕРм08-01-087-03
</t>
  </si>
  <si>
    <r>
      <t>ТЕРм08-01-087-03</t>
    </r>
    <r>
      <rPr>
        <i/>
        <sz val="10"/>
        <rFont val="Arial"/>
        <family val="2"/>
        <charset val="204"/>
      </rPr>
      <t xml:space="preserve">
</t>
    </r>
  </si>
  <si>
    <t>1 т</t>
  </si>
  <si>
    <t>2</t>
  </si>
  <si>
    <t>Разъединитель напряжением: 110 и 150 кВ, на ток 1000-3200 А с одним или двумя заземляющими ножами</t>
  </si>
  <si>
    <t xml:space="preserve">ТЕРм08-01-011-06
</t>
  </si>
  <si>
    <r>
      <t>ТЕРм08-01-011-06</t>
    </r>
    <r>
      <rPr>
        <i/>
        <sz val="10"/>
        <rFont val="Arial"/>
        <family val="2"/>
        <charset val="204"/>
      </rPr>
      <t xml:space="preserve">
</t>
    </r>
  </si>
  <si>
    <t>1 компл. (3 полюса)</t>
  </si>
  <si>
    <t>Блок разъединителя 3-х полюсный с 1 з.н. - 4 шт</t>
  </si>
  <si>
    <t>3</t>
  </si>
  <si>
    <t>Металлические конструкции (Для Блок разъединителя 3-х полюсный с 1 з.н.)
1 740,55 = 13 355,55 - 1 x 11 615,00</t>
  </si>
  <si>
    <r>
      <t>Металлические конструкции (Для Блок разъединителя 3-х полюсный с 1 з.н.)</t>
    </r>
    <r>
      <rPr>
        <i/>
        <sz val="10"/>
        <rFont val="Arial"/>
        <family val="2"/>
        <charset val="204"/>
      </rPr>
      <t xml:space="preserve">
1 740,55 = 13 355,55 - 1 x 11 615,00</t>
    </r>
  </si>
  <si>
    <t>4</t>
  </si>
  <si>
    <t>Блок ограничителей перенапряжения - 6 шт.</t>
  </si>
  <si>
    <t>5</t>
  </si>
  <si>
    <t>Металлические конструкции (Для ОПН-110 кВ)
1 740,55 = 13 355,55 - 1 x 11 615,00</t>
  </si>
  <si>
    <r>
      <t>Металлические конструкции (Для ОПН-110 кВ)</t>
    </r>
    <r>
      <rPr>
        <i/>
        <sz val="10"/>
        <rFont val="Arial"/>
        <family val="2"/>
        <charset val="204"/>
      </rPr>
      <t xml:space="preserve">
1 740,55 = 13 355,55 - 1 x 11 615,00</t>
    </r>
  </si>
  <si>
    <t>6</t>
  </si>
  <si>
    <t>Ограничитель перенапряжения 110 кВ (ОПН-110 кВ)</t>
  </si>
  <si>
    <t xml:space="preserve">ТЕРм08-01-015-02
</t>
  </si>
  <si>
    <r>
      <t>ТЕРм08-01-015-02</t>
    </r>
    <r>
      <rPr>
        <i/>
        <sz val="10"/>
        <rFont val="Arial"/>
        <family val="2"/>
        <charset val="204"/>
      </rPr>
      <t xml:space="preserve">
</t>
    </r>
  </si>
  <si>
    <t>1 компл. (3 фазы)</t>
  </si>
  <si>
    <t xml:space="preserve">Итого: </t>
  </si>
  <si>
    <t>Материалы:</t>
  </si>
  <si>
    <t>Машины и механизмы:</t>
  </si>
  <si>
    <t>ФОТ:</t>
  </si>
  <si>
    <t xml:space="preserve">Накладные расходы: </t>
  </si>
  <si>
    <t xml:space="preserve">Сметная прибыль: </t>
  </si>
  <si>
    <t>Итого до начисления лимитированных затрат:</t>
  </si>
  <si>
    <t>Всего:</t>
  </si>
  <si>
    <t>Раздел 2. Монтажные работы 8 этап</t>
  </si>
  <si>
    <t>Установка главных трансформаторов</t>
  </si>
  <si>
    <t>7</t>
  </si>
  <si>
    <t>Трансформатор трехфазный: 110 кВ мощностью 10000, 16000 кВ·А</t>
  </si>
  <si>
    <r>
      <t>ТЕРм08-01-001-11</t>
    </r>
    <r>
      <rPr>
        <i/>
        <sz val="10"/>
        <rFont val="Arial"/>
        <family val="2"/>
        <charset val="204"/>
      </rPr>
      <t xml:space="preserve">
</t>
    </r>
  </si>
  <si>
    <t>1 шт.</t>
  </si>
  <si>
    <t>8</t>
  </si>
  <si>
    <t>Сушка масла для трансформаторов 110-750 кВ</t>
  </si>
  <si>
    <r>
      <t>ТЕРм08-01-010-04</t>
    </r>
    <r>
      <rPr>
        <i/>
        <sz val="10"/>
        <rFont val="Arial"/>
        <family val="2"/>
        <charset val="204"/>
      </rPr>
      <t xml:space="preserve">
</t>
    </r>
  </si>
  <si>
    <t>9</t>
  </si>
  <si>
    <t>Очистка масла для трансформаторов: 110-750 кВ с доведением механических примесей до 10 г/т</t>
  </si>
  <si>
    <r>
      <t>ТЕРм08-01-010-03</t>
    </r>
    <r>
      <rPr>
        <i/>
        <sz val="10"/>
        <rFont val="Arial"/>
        <family val="2"/>
        <charset val="204"/>
      </rPr>
      <t xml:space="preserve">
</t>
    </r>
  </si>
  <si>
    <t>10</t>
  </si>
  <si>
    <r>
      <t>Металлические конструкции (Блок ЗОН и ОПНН)</t>
    </r>
    <r>
      <rPr>
        <i/>
        <sz val="10"/>
        <rFont val="Arial"/>
        <family val="2"/>
        <charset val="204"/>
      </rPr>
      <t xml:space="preserve">
1 740,55 = 13 355,55 - 1 x 11 615,00</t>
    </r>
  </si>
  <si>
    <t>11</t>
  </si>
  <si>
    <t>Заземлитель однополюсный напряжением: 110 кВ (ЗОН)</t>
  </si>
  <si>
    <r>
      <t>ТЕРм08-01-013-01</t>
    </r>
    <r>
      <rPr>
        <i/>
        <sz val="10"/>
        <rFont val="Arial"/>
        <family val="2"/>
        <charset val="204"/>
      </rPr>
      <t xml:space="preserve">
</t>
    </r>
  </si>
  <si>
    <t>12</t>
  </si>
  <si>
    <r>
      <t>Ограничитель перенапряжения 110 кВ (ОПНН-110 кВ)</t>
    </r>
    <r>
      <rPr>
        <i/>
        <sz val="10"/>
        <rFont val="Arial"/>
        <family val="2"/>
        <charset val="204"/>
      </rPr>
      <t xml:space="preserve">
(1/3 комплекта ПЗ=0,3333 (ОЗП=0,3333; ЭМ=0,3333 к расх.; ЗПМ=0,3333; МАТ=0,3333 к расх.; ТЗ=0,3333; ТЗМ=0,3333))</t>
    </r>
  </si>
  <si>
    <t>13</t>
  </si>
  <si>
    <t>Короб металлический на конструкциях, кронштейнах, по фермам и колоннам, длина: 3 м</t>
  </si>
  <si>
    <r>
      <t>ТЕРм08-02-396-02</t>
    </r>
    <r>
      <rPr>
        <i/>
        <sz val="10"/>
        <rFont val="Arial"/>
        <family val="2"/>
        <charset val="204"/>
      </rPr>
      <t xml:space="preserve">
</t>
    </r>
  </si>
  <si>
    <t>100 м</t>
  </si>
  <si>
    <t>14</t>
  </si>
  <si>
    <t>Очистка поверхности щетками</t>
  </si>
  <si>
    <r>
      <t>ТЕР13-06-003-01</t>
    </r>
    <r>
      <rPr>
        <i/>
        <sz val="10"/>
        <rFont val="Arial"/>
        <family val="2"/>
        <charset val="204"/>
      </rPr>
      <t xml:space="preserve">
</t>
    </r>
  </si>
  <si>
    <t>1 м2 очищаемой поверхности</t>
  </si>
  <si>
    <t>15</t>
  </si>
  <si>
    <t>Обеспыливание поверхности</t>
  </si>
  <si>
    <r>
      <t>ТЕР13-06-004-01</t>
    </r>
    <r>
      <rPr>
        <i/>
        <sz val="10"/>
        <rFont val="Arial"/>
        <family val="2"/>
        <charset val="204"/>
      </rPr>
      <t xml:space="preserve">
</t>
    </r>
  </si>
  <si>
    <t>1 м2 обеспыливаемой поверхности</t>
  </si>
  <si>
    <t>16</t>
  </si>
  <si>
    <r>
      <t>Огрунтовка металлических поверхностей за один раз: грунтовкой ГФ-021</t>
    </r>
    <r>
      <rPr>
        <i/>
        <sz val="10"/>
        <rFont val="Arial"/>
        <family val="2"/>
        <charset val="204"/>
      </rPr>
      <t xml:space="preserve">
(ОП п.1.13.7 При нанесении лакокрасочных материалов ручным способом ОЗП=1,1; ТЗ=1,1)</t>
    </r>
  </si>
  <si>
    <r>
      <t>ТЕР13-03-002-04</t>
    </r>
    <r>
      <rPr>
        <i/>
        <sz val="10"/>
        <rFont val="Arial"/>
        <family val="2"/>
        <charset val="204"/>
      </rPr>
      <t xml:space="preserve">
</t>
    </r>
  </si>
  <si>
    <t>100 м2 окрашиваемой поверхности</t>
  </si>
  <si>
    <t>17</t>
  </si>
  <si>
    <r>
      <t>Окраска металлических огрунтованных поверхностей: краской БТ-177 серебристой</t>
    </r>
    <r>
      <rPr>
        <i/>
        <sz val="10"/>
        <rFont val="Arial"/>
        <family val="2"/>
        <charset val="204"/>
      </rPr>
      <t xml:space="preserve">
(Количество слоев окраски ПЗ=2 (ОЗП=2; ЭМ=2 к расх.; ЗПМ=2; МАТ=2 к расх.; ТЗ=2; ТЗМ=2);
ОП п.1.13.7 При нанесении лакокрасочных материалов ручным способом ОЗП=1,1; ТЗ=1,1)</t>
    </r>
  </si>
  <si>
    <r>
      <t>ТЕР13-03-004-23</t>
    </r>
    <r>
      <rPr>
        <i/>
        <sz val="10"/>
        <rFont val="Arial"/>
        <family val="2"/>
        <charset val="204"/>
      </rPr>
      <t xml:space="preserve">
</t>
    </r>
  </si>
  <si>
    <t>Раздел 3. Монтажные работы 7 этап</t>
  </si>
  <si>
    <t>Блок бакового выключателя - 8 шт</t>
  </si>
  <si>
    <t>18</t>
  </si>
  <si>
    <t>Металлические конструкции (Для Блок бакового выключателя)
1 740,55 = 13 355,55 - 1 x 11 615,00</t>
  </si>
  <si>
    <t>19</t>
  </si>
  <si>
    <t>Выключатель масляный напряжением: 110 кВ, типа ВМТ-110 (Блок бакового выключателя)</t>
  </si>
  <si>
    <t xml:space="preserve">ТЕРм08-01-009-06
</t>
  </si>
  <si>
    <t>20</t>
  </si>
  <si>
    <t>Лоток металлический штампованный по установленным конструкциям, ширина лотка: до 200 мм</t>
  </si>
  <si>
    <t xml:space="preserve">ТЕРм08-02-395-01
</t>
  </si>
  <si>
    <r>
      <t>ТЕРм08-02-395-01</t>
    </r>
    <r>
      <rPr>
        <i/>
        <sz val="10"/>
        <rFont val="Arial"/>
        <family val="2"/>
        <charset val="204"/>
      </rPr>
      <t xml:space="preserve">
</t>
    </r>
  </si>
  <si>
    <t>21</t>
  </si>
  <si>
    <t>22</t>
  </si>
  <si>
    <t>23</t>
  </si>
  <si>
    <t>24</t>
  </si>
  <si>
    <t>25</t>
  </si>
  <si>
    <t>26</t>
  </si>
  <si>
    <t>Блок  ступенчатых разъединителей   3-х полюсный с 2 з.н. - 1 шт</t>
  </si>
  <si>
    <t>27</t>
  </si>
  <si>
    <t>Металлические конструкции (Для Блоков разъединителя  3-х полюсный с 2 з.н.)
1 740,55 = 13 355,55 - 1 x 11 615,00</t>
  </si>
  <si>
    <t>28</t>
  </si>
  <si>
    <t>Разъединитель напряжением: 110 и 150 кВ, на ток 1000-3200 А с одним или двумя заземляющими ножами (Блок разъединителя  3-х полюсный с 2 з.н.)
(ОП п.1.8.9 При монтаже разъединителей с килевым расположением фаз ОЗП=1,4; ЭМ=1,4 к расх.; ЗПМ=1,4; МАТ=1,4 к расх.; ТЗ=1,4; ТЗМ=1,4)</t>
  </si>
  <si>
    <t>29</t>
  </si>
  <si>
    <t>Блок  ступенчатых разъединителей  3-х полюсный с 1 з.н. - 6 шт</t>
  </si>
  <si>
    <t>30</t>
  </si>
  <si>
    <t>Металлические конструкции (Для Блоков разъединителя 3-х полюсный с 1 з.н.)
1 740,55 = 13 355,55 - 1 x 11 615,00</t>
  </si>
  <si>
    <t>31</t>
  </si>
  <si>
    <t>Разъединитель напряжением: 110 и 150 кВ, на ток 1000-3200 А с одним или двумя заземляющими ножами (Блок разъединителя 3-х полюсный с 1 з.н.)
(ОП п.1.8.9 При монтаже разъединителей с килевым расположением фаз ОЗП=1,4; ЭМ=1,4 к расх.; ЗПМ=1,4; МАТ=1,4 к расх.; ТЗ=1,4; ТЗМ=1,4)</t>
  </si>
  <si>
    <t>32</t>
  </si>
  <si>
    <t>33</t>
  </si>
  <si>
    <t>34</t>
  </si>
  <si>
    <t>35</t>
  </si>
  <si>
    <t>36</t>
  </si>
  <si>
    <t>Блок опорного изолятора h=5200 мм - 24 шт.</t>
  </si>
  <si>
    <t>37</t>
  </si>
  <si>
    <t>Металлические конструкции (Для Блоков ОИ h=5200 мм)
1 740,55 = 13 355,55 - 1 x 11 615,00</t>
  </si>
  <si>
    <t>38</t>
  </si>
  <si>
    <t>Изолятор опорный напряжением: 110 кВ (Блок ОИ h=5200 мм)</t>
  </si>
  <si>
    <t xml:space="preserve">ТЕРм08-01-017-09
</t>
  </si>
  <si>
    <t>Блок опорного изолятора h=3200 мм - 30 шт.</t>
  </si>
  <si>
    <t>39</t>
  </si>
  <si>
    <t>Металлические конструкции (Для Блоков ОИ h=3200 мм)
1 740,55 = 13 355,55 - 1 x 11 615,00</t>
  </si>
  <si>
    <t>40</t>
  </si>
  <si>
    <t>Изолятор опорный напряжением: 110 кВ (Блок ОИ h=3200 мм)</t>
  </si>
  <si>
    <t>Блок конденсатора связи КС - 5 шт. (Монтаж конденсаторов учтен в разделах связи и РЗА)</t>
  </si>
  <si>
    <t>41</t>
  </si>
  <si>
    <r>
      <t>Металлические конструкции (Для Блоков конденсатора связи КС )</t>
    </r>
    <r>
      <rPr>
        <i/>
        <sz val="10"/>
        <rFont val="Arial"/>
        <family val="2"/>
        <charset val="204"/>
      </rPr>
      <t xml:space="preserve">
1 740,55 = 13 355,55 - 1 x 11 615,00</t>
    </r>
  </si>
  <si>
    <t>Гибкая ошиновка</t>
  </si>
  <si>
    <t>42</t>
  </si>
  <si>
    <t>Шина сборная напряжением: 110-150 кВ, сечение до 400 мм2, количество проводов в фазе - 1</t>
  </si>
  <si>
    <r>
      <t>ТЕРм08-01-021-05</t>
    </r>
    <r>
      <rPr>
        <i/>
        <sz val="10"/>
        <rFont val="Arial"/>
        <family val="2"/>
        <charset val="204"/>
      </rPr>
      <t xml:space="preserve">
</t>
    </r>
  </si>
  <si>
    <t>1 пролет (3 фазы)</t>
  </si>
  <si>
    <t>43</t>
  </si>
  <si>
    <t>Спуск, петля или перемычка, сечение провода: до 300 мм2, количество проводов в фазе - 1</t>
  </si>
  <si>
    <r>
      <t>ТЕРм08-01-023-01</t>
    </r>
    <r>
      <rPr>
        <i/>
        <sz val="10"/>
        <rFont val="Arial"/>
        <family val="2"/>
        <charset val="204"/>
      </rPr>
      <t xml:space="preserve">
</t>
    </r>
  </si>
  <si>
    <t>1 спуск, петля или перемычка (3 фазы)</t>
  </si>
  <si>
    <t>Раздел 4. Монтажные работы 6 этап</t>
  </si>
  <si>
    <t>Жесткая ошиновка</t>
  </si>
  <si>
    <t>44</t>
  </si>
  <si>
    <t>Ошиновка жесткая из алюминиевых труб для ОРУ, напряжение: 110 кВ</t>
  </si>
  <si>
    <r>
      <t>ТЕРм08-01-022-01</t>
    </r>
    <r>
      <rPr>
        <i/>
        <sz val="10"/>
        <rFont val="Arial"/>
        <family val="2"/>
        <charset val="204"/>
      </rPr>
      <t xml:space="preserve">
</t>
    </r>
  </si>
  <si>
    <t>Блок ШО под жесткую ошиновку - 27 шт.</t>
  </si>
  <si>
    <t>45</t>
  </si>
  <si>
    <t>Опора шинная напряжением: 110 кВ</t>
  </si>
  <si>
    <r>
      <t>ТЕРм08-01-017-02</t>
    </r>
    <r>
      <rPr>
        <i/>
        <sz val="10"/>
        <rFont val="Arial"/>
        <family val="2"/>
        <charset val="204"/>
      </rPr>
      <t xml:space="preserve">
</t>
    </r>
  </si>
  <si>
    <t>46</t>
  </si>
  <si>
    <t>Изолятор опорный напряжением: 110 кВ</t>
  </si>
  <si>
    <r>
      <t>ТЕРм08-01-017-09</t>
    </r>
    <r>
      <rPr>
        <i/>
        <sz val="10"/>
        <rFont val="Arial"/>
        <family val="2"/>
        <charset val="204"/>
      </rPr>
      <t xml:space="preserve">
</t>
    </r>
  </si>
  <si>
    <t>Раздел 5. Монтажные работы 7 этап</t>
  </si>
  <si>
    <t>Гирлянда изоляторов натяжная одноцепная 10хПСД-70Е для одного провода в фазе сечением 185 мм 2</t>
  </si>
  <si>
    <t>47</t>
  </si>
  <si>
    <t>Гирлянда натяжная из подвесных изоляторов одиночная напряжением: 110 кВ (Гирлянда изоляторов натяжная одноцепная 10хПСД-70Е для одного провода в фазе сечением 185 мм 2)</t>
  </si>
  <si>
    <r>
      <t>ТЕРм08-01-020-02</t>
    </r>
    <r>
      <rPr>
        <i/>
        <sz val="10"/>
        <rFont val="Arial"/>
        <family val="2"/>
        <charset val="204"/>
      </rPr>
      <t xml:space="preserve">
</t>
    </r>
  </si>
  <si>
    <t>Гирлянда изоляторов для подвески ВЧ-заградителя</t>
  </si>
  <si>
    <t>48</t>
  </si>
  <si>
    <t>Гирлянда поддерживающая из подвесных изоляторов одиночная напряжением: 110 кВ</t>
  </si>
  <si>
    <t>Раздел 6. Монтажные работы 4 этап</t>
  </si>
  <si>
    <t>ОПУ</t>
  </si>
  <si>
    <t>49</t>
  </si>
  <si>
    <t>Монтаж оборудования на открытой площадке, масса оборудования: 40 т (Здание ОПУ)</t>
  </si>
  <si>
    <t xml:space="preserve">ТЕРм37-01-013-14
</t>
  </si>
  <si>
    <t>50</t>
  </si>
  <si>
    <t>Монтаж оборудования на открытой площадке, масса оборудования: 3 т (12 блок модулей здания ОПУ)</t>
  </si>
  <si>
    <t xml:space="preserve">ТЕРм37-01-013-08
</t>
  </si>
  <si>
    <r>
      <t>ТЕРм37-01-013-08</t>
    </r>
    <r>
      <rPr>
        <i/>
        <sz val="10"/>
        <rFont val="Arial"/>
        <family val="2"/>
        <charset val="204"/>
      </rPr>
      <t xml:space="preserve">
</t>
    </r>
  </si>
  <si>
    <t>Раздел 7. Монтажные работы 9 этап</t>
  </si>
  <si>
    <t>51</t>
  </si>
  <si>
    <t>Шкаф управления и регулирования (Система собственных нужд в составе: шкаф ввода и секционирования - 1 шт; шкаф отходящих линий с автоматичскими выключателями - 4 шт.)</t>
  </si>
  <si>
    <r>
      <t>ТЕРм08-01-102-01</t>
    </r>
    <r>
      <rPr>
        <i/>
        <sz val="10"/>
        <rFont val="Arial"/>
        <family val="2"/>
        <charset val="204"/>
      </rPr>
      <t xml:space="preserve">
</t>
    </r>
  </si>
  <si>
    <t>1 шкаф</t>
  </si>
  <si>
    <t>52</t>
  </si>
  <si>
    <r>
      <t>Стеллаж для аккумуляторов металлический: двухъярусный, двухрядный</t>
    </r>
    <r>
      <rPr>
        <i/>
        <sz val="10"/>
        <rFont val="Arial"/>
        <family val="2"/>
        <charset val="204"/>
      </rPr>
      <t xml:space="preserve">
433,73 = 1 281,63 - 0,073 x 11 615,00</t>
    </r>
  </si>
  <si>
    <r>
      <t>ТЕРм08-01-123-08</t>
    </r>
    <r>
      <rPr>
        <i/>
        <sz val="10"/>
        <rFont val="Arial"/>
        <family val="2"/>
        <charset val="204"/>
      </rPr>
      <t xml:space="preserve">
</t>
    </r>
  </si>
  <si>
    <t>1 м</t>
  </si>
  <si>
    <t>53</t>
  </si>
  <si>
    <t>Батарея аккумуляторов кислотных стационарных</t>
  </si>
  <si>
    <r>
      <t>ТЕРм08-01-122-01</t>
    </r>
    <r>
      <rPr>
        <i/>
        <sz val="10"/>
        <rFont val="Arial"/>
        <family val="2"/>
        <charset val="204"/>
      </rPr>
      <t xml:space="preserve">
</t>
    </r>
  </si>
  <si>
    <t>1 формирование</t>
  </si>
  <si>
    <t>54</t>
  </si>
  <si>
    <t>Блок управления шкафного исполнения или распределительный пункт (шкаф), устанавливаемый: на полу, высота и ширина до 2000х1000 мм (шкаф подзарядного устройства ПЗУ)</t>
  </si>
  <si>
    <r>
      <t>ТЕРм08-03-572-06</t>
    </r>
    <r>
      <rPr>
        <i/>
        <sz val="10"/>
        <rFont val="Arial"/>
        <family val="2"/>
        <charset val="204"/>
      </rPr>
      <t xml:space="preserve">
</t>
    </r>
  </si>
  <si>
    <t>55</t>
  </si>
  <si>
    <t>Блок управления шкафного исполнения или распределительный пункт (шкаф), устанавливаемый: на полу, высота и ширина до 2000х1000 мм (шкаф распределительный ШР)</t>
  </si>
  <si>
    <t>Раздел 8. Монтажные работы 11 этап</t>
  </si>
  <si>
    <t>Низковольтные комплектные устройства (НКУ)</t>
  </si>
  <si>
    <t>56</t>
  </si>
  <si>
    <t>Шкаф (пульт) управления навесной, высота, ширина и глубина: до 1200х600х500 мм (Шкаф зажимов выключателя ШЗВ)</t>
  </si>
  <si>
    <r>
      <t>ТЕРм08-03-573-06</t>
    </r>
    <r>
      <rPr>
        <i/>
        <sz val="10"/>
        <rFont val="Arial"/>
        <family val="2"/>
        <charset val="204"/>
      </rPr>
      <t xml:space="preserve">
</t>
    </r>
  </si>
  <si>
    <t>57</t>
  </si>
  <si>
    <t>Шкаф (пульт) управления навесной, высота, ширина и глубина: до 1200х600х500 мм (Шкаф обогрева выключателя ШОВ)</t>
  </si>
  <si>
    <t>58</t>
  </si>
  <si>
    <t>Шкаф (пульт) управления навесной, высота, ширина и глубина: до 1200х600х500 мм (Шкаф зажимов трансформатора напряжения ШЗН-1В)</t>
  </si>
  <si>
    <t>59</t>
  </si>
  <si>
    <t>Шкаф (пульт) управления навесной, высота, ширина и глубина: до 1200х600х500 мм (Шкаф зажимов трансформатора напряжения ШЗН-1Б)</t>
  </si>
  <si>
    <t>60</t>
  </si>
  <si>
    <t>Шкаф (пульт) управления навесной, высота, ширина и глубина: до 900х600х500 мм (Шкаф отбора напряжения ШОН-301С)</t>
  </si>
  <si>
    <r>
      <t>ТЕРм08-03-573-05</t>
    </r>
    <r>
      <rPr>
        <i/>
        <sz val="10"/>
        <rFont val="Arial"/>
        <family val="2"/>
        <charset val="204"/>
      </rPr>
      <t xml:space="preserve">
</t>
    </r>
  </si>
  <si>
    <t>Раздел 9. Монтажные работы 6 этап</t>
  </si>
  <si>
    <t>Блок трансформатора напряжения с тремя вторичными обмотками - 2 шт</t>
  </si>
  <si>
    <t>61</t>
  </si>
  <si>
    <r>
      <t>Металлические конструкции (Для Блоков трансформатора напряжения с тремя вторичными обмотками)</t>
    </r>
    <r>
      <rPr>
        <i/>
        <sz val="10"/>
        <rFont val="Arial"/>
        <family val="2"/>
        <charset val="204"/>
      </rPr>
      <t xml:space="preserve">
1 740,55 = 13 355,55 - 1 x 11 615,00</t>
    </r>
  </si>
  <si>
    <t>62</t>
  </si>
  <si>
    <t>Трансформатор напряжения: 110 кВ (Блок трансформатора напряжения с тремя вторичными обмотками)</t>
  </si>
  <si>
    <r>
      <t>ТЕРм08-01-007-02</t>
    </r>
    <r>
      <rPr>
        <i/>
        <sz val="10"/>
        <rFont val="Arial"/>
        <family val="2"/>
        <charset val="204"/>
      </rPr>
      <t xml:space="preserve">
</t>
    </r>
  </si>
  <si>
    <t>63</t>
  </si>
  <si>
    <t>Блок трансформатора напряжения с одной вторичной обмоткой - 1 шт</t>
  </si>
  <si>
    <t>64</t>
  </si>
  <si>
    <r>
      <t>Металлические конструкции (Для Блоков трансформатора напряжения  с одной вторичной обмоткой)</t>
    </r>
    <r>
      <rPr>
        <i/>
        <sz val="10"/>
        <rFont val="Arial"/>
        <family val="2"/>
        <charset val="204"/>
      </rPr>
      <t xml:space="preserve">
1 740,55 = 13 355,55 - 1 x 11 615,00</t>
    </r>
  </si>
  <si>
    <t>65</t>
  </si>
  <si>
    <r>
      <t>Трансформатор напряжения: 110 кВ (Блок трансформатора напряжения  с одной вторичной обмоткой)</t>
    </r>
    <r>
      <rPr>
        <i/>
        <sz val="10"/>
        <rFont val="Arial"/>
        <family val="2"/>
        <charset val="204"/>
      </rPr>
      <t xml:space="preserve">
(1/3 компл. ПЗ=0,3333 (ОЗП=0,3333; ЭМ=0,3333 к расх.; ЗПМ=0,3333; МАТ=0,3333 к расх.; ТЗ=0,3333; ТЗМ=0,3333))</t>
    </r>
  </si>
  <si>
    <t>Раздел 10. Оборудование 4 этап</t>
  </si>
  <si>
    <t>Оборудование КТПБ 110 кВ</t>
  </si>
  <si>
    <t>66</t>
  </si>
  <si>
    <t>Блок выключателя (металлоконструкция)</t>
  </si>
  <si>
    <t xml:space="preserve">ТКП № 0111/18 от 01.11.2018 АО "АВВ - энерго"
</t>
  </si>
  <si>
    <t>компл</t>
  </si>
  <si>
    <t>67</t>
  </si>
  <si>
    <t>Выключатель элегазовый баковый  трехполюсный со встроенными трансформаторами тока</t>
  </si>
  <si>
    <t>68</t>
  </si>
  <si>
    <t>Блок разъединителя с двумя заземляющими ножами</t>
  </si>
  <si>
    <r>
      <t>ТКП № 0111/18 от 01.11.2018 АО "АВВ - энерго"</t>
    </r>
    <r>
      <rPr>
        <i/>
        <sz val="10"/>
        <rFont val="Arial"/>
        <family val="2"/>
        <charset val="204"/>
      </rPr>
      <t xml:space="preserve">
</t>
    </r>
  </si>
  <si>
    <t>69</t>
  </si>
  <si>
    <t>Блок разъединителя  с одним заземляющим ножом</t>
  </si>
  <si>
    <t>70</t>
  </si>
  <si>
    <t>Блок ОПН</t>
  </si>
  <si>
    <t>Оборудование:</t>
  </si>
  <si>
    <t>Раздел 11. Оборудование 5 этап</t>
  </si>
  <si>
    <t>71</t>
  </si>
  <si>
    <t>Блок ступенчатых разъединителей с двумя заземляющими ножами</t>
  </si>
  <si>
    <t>72</t>
  </si>
  <si>
    <t>Блок ступенчатых разъединителей с одним заземляющим ножом</t>
  </si>
  <si>
    <t>73</t>
  </si>
  <si>
    <t>Блок трансформатора напряжения с тремя вторичными обмотками</t>
  </si>
  <si>
    <t>74</t>
  </si>
  <si>
    <t>Блок трансформатора напряжения с одной вторичной обмоткой</t>
  </si>
  <si>
    <t>75</t>
  </si>
  <si>
    <t>Блок опорного изолятора  h=5200 мм</t>
  </si>
  <si>
    <t>76</t>
  </si>
  <si>
    <t>Блок опорного изолятора  h=3200 мм</t>
  </si>
  <si>
    <t>77</t>
  </si>
  <si>
    <t>78</t>
  </si>
  <si>
    <t>79</t>
  </si>
  <si>
    <t>Блок конденсатора связи КС в составе: металлоконструкция</t>
  </si>
  <si>
    <t>80</t>
  </si>
  <si>
    <t>Ошиновка жесткая, с учетом доставки</t>
  </si>
  <si>
    <t>компл.</t>
  </si>
  <si>
    <t>81</t>
  </si>
  <si>
    <t>Блок ШО под ошиновку жесткую: Металлоконструкция, Изоляторы, Шинодержатели с учетом доставки</t>
  </si>
  <si>
    <t>82</t>
  </si>
  <si>
    <t>Гибкая ошиновка 185/43 с зажимами, с учетом доставки</t>
  </si>
  <si>
    <t>Раздел 12. Оборудование 6 этап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</si>
  <si>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</si>
  <si>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</si>
  <si>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</si>
  <si>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</si>
  <si>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</si>
  <si>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</si>
  <si>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</si>
  <si>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</si>
  <si>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</si>
  <si>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</si>
  <si>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Раздел 13. Оборудование 7 этап</t>
  </si>
  <si>
    <t>93</t>
  </si>
  <si>
    <t>94</t>
  </si>
  <si>
    <t>Раздел 14. Оборудование 8 этап</t>
  </si>
  <si>
    <t>Оборудование главных трансформаторов</t>
  </si>
  <si>
    <t>95</t>
  </si>
  <si>
    <t>Трансформатор силовой трёхфазный трёхобмоточный</t>
  </si>
  <si>
    <r>
      <t>Поставка Заказчика</t>
    </r>
    <r>
      <rPr>
        <i/>
        <sz val="10"/>
        <rFont val="Arial"/>
        <family val="2"/>
        <charset val="204"/>
      </rPr>
      <t xml:space="preserve">
</t>
    </r>
  </si>
  <si>
    <t>шт</t>
  </si>
  <si>
    <t>96</t>
  </si>
  <si>
    <t>Блок ЗОН и ОПНН</t>
  </si>
  <si>
    <t>Раздел 15. Оборудование 4 этап</t>
  </si>
  <si>
    <t>97</t>
  </si>
  <si>
    <t>Быстровозводимое здание ОПУ (без панелей защит)</t>
  </si>
  <si>
    <r>
      <t>ТКП №0111/18 от 01.11.2018 АО "АВВ-энерго"</t>
    </r>
    <r>
      <rPr>
        <i/>
        <sz val="10"/>
        <rFont val="Arial"/>
        <family val="2"/>
        <charset val="204"/>
      </rPr>
      <t xml:space="preserve">
</t>
    </r>
  </si>
  <si>
    <t>Раздел 16. Оборудование 9 этап</t>
  </si>
  <si>
    <t>98</t>
  </si>
  <si>
    <t>Система управления оперативным током  В составе: аккумуляторная батарея с стеллажом; Шкаф подзарядного устройства ПЗУ;. Шкаф распределительный ШР</t>
  </si>
  <si>
    <t>99</t>
  </si>
  <si>
    <t>Система собственных нужд переменного тока в составе:             1. Шкаф отходящих линий (ВН1, ВН2, ВН4, ВН5) с автоматическими выключателями, с электронными расцепителями, 2. Шкаф ввода и секционирования (ВН3)  с автоматическими выключателями, с электронными расцепителями</t>
  </si>
  <si>
    <t>100</t>
  </si>
  <si>
    <t>Раздел 17. Оборудование 11 этап</t>
  </si>
  <si>
    <t>Низковольтные комплектные устройства</t>
  </si>
  <si>
    <t>101</t>
  </si>
  <si>
    <t>Шкаф зажимов выключателя ШЗВ-120</t>
  </si>
  <si>
    <t>102</t>
  </si>
  <si>
    <t>Шкаф обогрева выключателя ШОВ-2</t>
  </si>
  <si>
    <t>103</t>
  </si>
  <si>
    <t>Шкаф зажимов трансформатора напряжения ШЗН-1В</t>
  </si>
  <si>
    <t>104</t>
  </si>
  <si>
    <t>Шкаф зажимов трансформатора напряжения ШЗН-1Б</t>
  </si>
  <si>
    <t>105</t>
  </si>
  <si>
    <t>Шкаф отбора напряжения ШОН-301С</t>
  </si>
  <si>
    <t>Раздел 18. Оборудование 6 этап</t>
  </si>
  <si>
    <t>106</t>
  </si>
  <si>
    <t>107</t>
  </si>
  <si>
    <t>Раздел 19. Материалы 7 этап</t>
  </si>
  <si>
    <t>Гирлянда изоляторов натяжная одноцепная 10хПСД-70Е для одного провода в фазе сечением 185 мм 2 (48 компл):</t>
  </si>
  <si>
    <t>108</t>
  </si>
  <si>
    <t>Изолятор подвесной стеклянный ПСВ-120Б</t>
  </si>
  <si>
    <t xml:space="preserve">ТКП №КП18/058-0139 от 30.03.2018г. от ООО "ТЭС" л.11
</t>
  </si>
  <si>
    <t>109</t>
  </si>
  <si>
    <t>Изолятор подвесной стеклянный ПСД-70Е</t>
  </si>
  <si>
    <t>110</t>
  </si>
  <si>
    <t>Скоба СК-7-1А</t>
  </si>
  <si>
    <t>111</t>
  </si>
  <si>
    <t>Серьга СР-7-16</t>
  </si>
  <si>
    <t>112</t>
  </si>
  <si>
    <t>Ушко двухлапчатое У2-12-16</t>
  </si>
  <si>
    <t>113</t>
  </si>
  <si>
    <t>Звено промежуточное регулируемое ПРР-12-1А</t>
  </si>
  <si>
    <t>114</t>
  </si>
  <si>
    <t>Зажим натяжной прессуемый НАС-240-2Б</t>
  </si>
  <si>
    <t>Раздел 20. Материалы 7 этап</t>
  </si>
  <si>
    <t>Гирлянда изоляторов для подвески ВЧ заградителя (8 компл):</t>
  </si>
  <si>
    <t>115</t>
  </si>
  <si>
    <t>116</t>
  </si>
  <si>
    <t>Серьга СРС-7-16</t>
  </si>
  <si>
    <t>117</t>
  </si>
  <si>
    <t>Узел крепления гирлянды КГП-7-3</t>
  </si>
  <si>
    <t>118</t>
  </si>
  <si>
    <t>Звено промежуточное монтажное ПТМ-7-2</t>
  </si>
  <si>
    <t>119</t>
  </si>
  <si>
    <t>Звено промежуточное трехлапчатое ПРТ-7-1</t>
  </si>
  <si>
    <t>120</t>
  </si>
  <si>
    <t>Скоба трехлапчатая СКТ-7-1</t>
  </si>
  <si>
    <t>121</t>
  </si>
  <si>
    <t>Зажим поддерживающий ПГН-3-5</t>
  </si>
  <si>
    <t>122</t>
  </si>
  <si>
    <t>Коромысло двухцепное 2КД-7-1С</t>
  </si>
  <si>
    <t>123</t>
  </si>
  <si>
    <t>Ушко специальное УСК-7-16</t>
  </si>
  <si>
    <t>Раздел 21. Материалы 8 этап</t>
  </si>
  <si>
    <t>Материалы для установки главных трансформаторов</t>
  </si>
  <si>
    <t>124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</si>
  <si>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185/24 мм2</t>
  </si>
  <si>
    <t xml:space="preserve">ТССЦ-502-0324
</t>
  </si>
  <si>
    <r>
      <t>ТССЦ-502-0324</t>
    </r>
    <r>
      <rPr>
        <i/>
        <sz val="10"/>
        <rFont val="Arial"/>
        <family val="2"/>
        <charset val="204"/>
      </rPr>
      <t xml:space="preserve">
</t>
    </r>
  </si>
  <si>
    <t>т</t>
  </si>
  <si>
    <t>125</t>
  </si>
  <si>
    <t>Зажим аппаратный прессуемый А2А-185-3Т</t>
  </si>
  <si>
    <t>126</t>
  </si>
  <si>
    <t>Зажим аппаратный прессуемый А4А-185-3Т</t>
  </si>
  <si>
    <t>127</t>
  </si>
  <si>
    <t>Зажим аппаратный прессуемый А2А-150-2</t>
  </si>
  <si>
    <r>
      <t>ТССЦ-509-5955</t>
    </r>
    <r>
      <rPr>
        <i/>
        <sz val="10"/>
        <rFont val="Arial"/>
        <family val="2"/>
        <charset val="204"/>
      </rPr>
      <t xml:space="preserve">
</t>
    </r>
  </si>
  <si>
    <t>шт.</t>
  </si>
  <si>
    <t>128</t>
  </si>
  <si>
    <t>129</t>
  </si>
  <si>
    <t>Изолятор опорный стержневой С4-195-IIУХЛ1</t>
  </si>
  <si>
    <t>130</t>
  </si>
  <si>
    <t>Металлический лоток кабельный 100х100х3000, перфорированный с крышкой</t>
  </si>
  <si>
    <t>131</t>
  </si>
  <si>
    <t>Короб кабельный угловой оцинкованный КУГ-0,1/0,2-90 У1оц</t>
  </si>
  <si>
    <t>132</t>
  </si>
  <si>
    <t>Короб кабельный угловой оцинкованный КУВ-0,1/0,2-90 У1оц</t>
  </si>
  <si>
    <t>133</t>
  </si>
  <si>
    <t>Короб кабельный тройниковый  оцинкованный КТ-0,1/0,2-У1оц</t>
  </si>
  <si>
    <t>134</t>
  </si>
  <si>
    <t>Изделие И-1</t>
  </si>
  <si>
    <t>135</t>
  </si>
  <si>
    <t>Сталь листовая углеродистая обыкновенного качества марки ВСт3пс5 толщиной 4-6 мм</t>
  </si>
  <si>
    <r>
      <t>ТССЦ-101-1627</t>
    </r>
    <r>
      <rPr>
        <i/>
        <sz val="10"/>
        <rFont val="Arial"/>
        <family val="2"/>
        <charset val="204"/>
      </rPr>
      <t xml:space="preserve">
</t>
    </r>
  </si>
  <si>
    <t>136</t>
  </si>
  <si>
    <t>Сталь угловая равнополочная, марка стали ВСт3кп2, размером 50x50x5 мм</t>
  </si>
  <si>
    <r>
      <t>ТССЦ-101-1641</t>
    </r>
    <r>
      <rPr>
        <i/>
        <sz val="10"/>
        <rFont val="Arial"/>
        <family val="2"/>
        <charset val="204"/>
      </rPr>
      <t xml:space="preserve">
</t>
    </r>
  </si>
  <si>
    <t>137</t>
  </si>
  <si>
    <t>Сталь угловая 75х75 мм</t>
  </si>
  <si>
    <r>
      <t>ТССЦ-101-2545</t>
    </r>
    <r>
      <rPr>
        <i/>
        <sz val="10"/>
        <rFont val="Arial"/>
        <family val="2"/>
        <charset val="204"/>
      </rPr>
      <t xml:space="preserve">
</t>
    </r>
  </si>
  <si>
    <t>138</t>
  </si>
  <si>
    <t>Кронштейн К-1</t>
  </si>
  <si>
    <t>139</t>
  </si>
  <si>
    <t>Кронштейн К-2</t>
  </si>
  <si>
    <t>140</t>
  </si>
  <si>
    <t>Зажим аппаратный штыревой АШМ-20-1</t>
  </si>
  <si>
    <r>
      <t>ТССЦ-509-6044</t>
    </r>
    <r>
      <rPr>
        <i/>
        <sz val="10"/>
        <rFont val="Arial"/>
        <family val="2"/>
        <charset val="204"/>
      </rPr>
      <t xml:space="preserve">
</t>
    </r>
  </si>
  <si>
    <t>Раздел 22. Материалы 7 этап</t>
  </si>
  <si>
    <t>ОРУ 110 кВ</t>
  </si>
  <si>
    <t>141</t>
  </si>
  <si>
    <t>142</t>
  </si>
  <si>
    <t>143</t>
  </si>
  <si>
    <t>Переходная пластина КП-2</t>
  </si>
  <si>
    <t>144</t>
  </si>
  <si>
    <t>Зажим разъемный ответвительный РОА-185-1</t>
  </si>
  <si>
    <t xml:space="preserve">ТССЦ-509-5940
</t>
  </si>
  <si>
    <t>145</t>
  </si>
  <si>
    <t>Зажим ответвительный ОА 185-1</t>
  </si>
  <si>
    <t xml:space="preserve">ТССЦ-509-5878
</t>
  </si>
  <si>
    <t>Раздел 23. Монтажные работы 35,10 кВ 11 этап</t>
  </si>
  <si>
    <t>Шинные мосты и гибкие связи</t>
  </si>
  <si>
    <t>146</t>
  </si>
  <si>
    <t>Гирлянда натяжная  одиночная напряжением: 35 кВ (прим)</t>
  </si>
  <si>
    <r>
      <t>ТЕРм08-01-020-01</t>
    </r>
    <r>
      <rPr>
        <i/>
        <sz val="10"/>
        <rFont val="Arial"/>
        <family val="2"/>
        <charset val="204"/>
      </rPr>
      <t xml:space="preserve">
</t>
    </r>
  </si>
  <si>
    <t>147</t>
  </si>
  <si>
    <t>Гирлянда поддерживающая из подвесных изоляторов одиночная напряжением: 35 кВ (прим)</t>
  </si>
  <si>
    <t>Раздел 24. Монтажные работы 35,10 кВ 4 этап</t>
  </si>
  <si>
    <t>148</t>
  </si>
  <si>
    <t>Изолятор опорный напряжением: 35 кВ (ОНШП)</t>
  </si>
  <si>
    <t xml:space="preserve">ТЕРм08-01-017-08
</t>
  </si>
  <si>
    <t>Установка трансформаторов собственных нужд</t>
  </si>
  <si>
    <t>149</t>
  </si>
  <si>
    <t>Трансформатор силовой, автотрансформатор или масляный реактор, масса: до 1 т (ТМГ-160кВА)</t>
  </si>
  <si>
    <t xml:space="preserve">ТЕРм08-01-062-01
</t>
  </si>
  <si>
    <r>
      <t>ТЕРм08-01-062-01</t>
    </r>
    <r>
      <rPr>
        <i/>
        <sz val="10"/>
        <rFont val="Arial"/>
        <family val="2"/>
        <charset val="204"/>
      </rPr>
      <t xml:space="preserve">
</t>
    </r>
  </si>
  <si>
    <t>Раздел 25. Монтажные работы 35,10 кВ 11 этап</t>
  </si>
  <si>
    <t>150</t>
  </si>
  <si>
    <r>
      <t>ТЕРм08-01-017-08</t>
    </r>
    <r>
      <rPr>
        <i/>
        <sz val="10"/>
        <rFont val="Arial"/>
        <family val="2"/>
        <charset val="204"/>
      </rPr>
      <t xml:space="preserve">
</t>
    </r>
  </si>
  <si>
    <t>151</t>
  </si>
  <si>
    <t>Раздел 26. Монтажные работы 35,10 кВ 11 этап</t>
  </si>
  <si>
    <t>152</t>
  </si>
  <si>
    <t>Ограничитель перенапряжения 35 кВ (ОПНН-35кВ) прим.</t>
  </si>
  <si>
    <r>
      <t>ТЕРм08-01-015-01</t>
    </r>
    <r>
      <rPr>
        <i/>
        <sz val="10"/>
        <rFont val="Arial"/>
        <family val="2"/>
        <charset val="204"/>
      </rPr>
      <t xml:space="preserve">
</t>
    </r>
  </si>
  <si>
    <t>153</t>
  </si>
  <si>
    <t>Ограничитель перенапряжения 35 кВ (ОПНН-10кВ) прим.</t>
  </si>
  <si>
    <t>154</t>
  </si>
  <si>
    <t>Шина сборная напряжением: 35 кВ, сечение до 400 мм2, количество проводов в фазе - 1</t>
  </si>
  <si>
    <r>
      <t>ТЕРм08-01-021-01</t>
    </r>
    <r>
      <rPr>
        <i/>
        <sz val="10"/>
        <rFont val="Arial"/>
        <family val="2"/>
        <charset val="204"/>
      </rPr>
      <t xml:space="preserve">
</t>
    </r>
  </si>
  <si>
    <t>155</t>
  </si>
  <si>
    <t>Распределительное устройство 35 кВ</t>
  </si>
  <si>
    <t>156</t>
  </si>
  <si>
    <t>Монтаж оборудования на открытой площадке, масса оборудования: 3 т (12 модулей здания КРПЗ-35 кВ)</t>
  </si>
  <si>
    <t>157</t>
  </si>
  <si>
    <t>Шкаф комплектных распределительных устройств с выключателем напряжением 6-10 кВ, на ток до 3200 А (Шкаф ввода с выключателем, Шкаф отходящей линии с выключателем, Шкаф с секционным выключателем, Шкаф секционного разъединителя, Шкаф трансформатора напряжения с предохранителем и ОПН)</t>
  </si>
  <si>
    <t xml:space="preserve">ТЕРм08-01-085-01
</t>
  </si>
  <si>
    <t>Распределительное устройство 10кВ</t>
  </si>
  <si>
    <t>158</t>
  </si>
  <si>
    <t>Монтаж оборудования на открытой площадке, масса оборудования: 3 т (5 модулей здания КРПЗ-10 кВ)</t>
  </si>
  <si>
    <t>159</t>
  </si>
  <si>
    <t>Шкаф комплектных распределительных устройств с выключателем напряжением 6-10 кВ, на ток до 3200 А (Шкаф ввода с выключателем, Шкаф с секционным выключателем, Шкаф секционного разъединителя, Шкаф отходящей линии с выключателем, Шкаф трансформатора напряжения)</t>
  </si>
  <si>
    <t>160</t>
  </si>
  <si>
    <t>Мост шинный для сборных распределительных устройств, количество опорных изоляторов: 9</t>
  </si>
  <si>
    <r>
      <t>ТЕРм08-01-079-01</t>
    </r>
    <r>
      <rPr>
        <i/>
        <sz val="10"/>
        <rFont val="Arial"/>
        <family val="2"/>
        <charset val="204"/>
      </rPr>
      <t xml:space="preserve">
</t>
    </r>
  </si>
  <si>
    <t>161</t>
  </si>
  <si>
    <t>162</t>
  </si>
  <si>
    <t>Муфта концевая эпоксидная для 3-жильного кабеля напряжением: до 10 кВ, сечение одной жилы до 70 мм2</t>
  </si>
  <si>
    <r>
      <t>ТЕРм08-02-165-06</t>
    </r>
    <r>
      <rPr>
        <i/>
        <sz val="10"/>
        <rFont val="Arial"/>
        <family val="2"/>
        <charset val="204"/>
      </rPr>
      <t xml:space="preserve">
</t>
    </r>
  </si>
  <si>
    <t>163</t>
  </si>
  <si>
    <r>
      <t>Металлические конструкции (установка труб и марки Д1)</t>
    </r>
    <r>
      <rPr>
        <i/>
        <sz val="10"/>
        <rFont val="Arial"/>
        <family val="2"/>
        <charset val="204"/>
      </rPr>
      <t xml:space="preserve">
1 740,55 = 13 355,55 - 1 x 11 615,00</t>
    </r>
  </si>
  <si>
    <t>164</t>
  </si>
  <si>
    <t>Кабель до 35 кВ в проложенных трубах, блоках и коробах, масса 1 м кабеля: до 6 кг</t>
  </si>
  <si>
    <r>
      <t>ТЕРм08-02-148-04</t>
    </r>
    <r>
      <rPr>
        <i/>
        <sz val="10"/>
        <rFont val="Arial"/>
        <family val="2"/>
        <charset val="204"/>
      </rPr>
      <t xml:space="preserve">
</t>
    </r>
  </si>
  <si>
    <t>100 м кабеля</t>
  </si>
  <si>
    <t>Раздел 27. Оборудование 35,10 кВ 4 этап</t>
  </si>
  <si>
    <t>165</t>
  </si>
  <si>
    <t>Опорный изолятор 10 кВ ОНШП</t>
  </si>
  <si>
    <t>Оборудование 10 кВ</t>
  </si>
  <si>
    <t>166</t>
  </si>
  <si>
    <t>Трансформатор собственных нужд 10/0,4 кВ 160/10У1</t>
  </si>
  <si>
    <t>Раздел 28. Оборудование 35,10 кВ 11  этап</t>
  </si>
  <si>
    <t>167</t>
  </si>
  <si>
    <t>168</t>
  </si>
  <si>
    <t>Раздел 29. Оборудование 35,10 кВ 11 этап</t>
  </si>
  <si>
    <t>169</t>
  </si>
  <si>
    <t>Ограничитель перенапряжения нелинейный с полимерной изоляцией ОПНН-35кВ</t>
  </si>
  <si>
    <t>170</t>
  </si>
  <si>
    <t>Ограничитель перенапряжения нелинейный с полимерной изоляцией ОПНН-10кВ</t>
  </si>
  <si>
    <t>Оборудование 35 кВ</t>
  </si>
  <si>
    <t>171</t>
  </si>
  <si>
    <t>Комплектное распределительное устройство внешней установки 35 кВ КРУМ-35кВ:</t>
  </si>
  <si>
    <t>172</t>
  </si>
  <si>
    <t>Шкаф ввода с выключателем Iном=630А, Iтерм=20кА</t>
  </si>
  <si>
    <t xml:space="preserve">1.1
</t>
  </si>
  <si>
    <t>173</t>
  </si>
  <si>
    <t>Шкаф отходящей линии с выключателем Iном=630А, Iтерм=20кА</t>
  </si>
  <si>
    <t xml:space="preserve">1.2
</t>
  </si>
  <si>
    <t>174</t>
  </si>
  <si>
    <t>Шкаф с секционным выключателем Iном=630А, Iтерм=20кА</t>
  </si>
  <si>
    <t xml:space="preserve">1.3
</t>
  </si>
  <si>
    <t>175</t>
  </si>
  <si>
    <t>Шкаф секционного разъединителя</t>
  </si>
  <si>
    <t xml:space="preserve">1.4
</t>
  </si>
  <si>
    <t>176</t>
  </si>
  <si>
    <t>Шкаф трансформатора напряжения с предохранителем и ОПН</t>
  </si>
  <si>
    <t xml:space="preserve">1.5
</t>
  </si>
  <si>
    <t>177</t>
  </si>
  <si>
    <t>Комплектное распределительное устройство внешней установки 10 кВ КРУМ-10кВ:</t>
  </si>
  <si>
    <t>178</t>
  </si>
  <si>
    <t>Шкаф ввода с выключателем Iном=1600А, Iтерм=20кА</t>
  </si>
  <si>
    <t>179</t>
  </si>
  <si>
    <t>Шкаф с секционным выключателем Iном=1250А, Iтерм=20кА</t>
  </si>
  <si>
    <t>180</t>
  </si>
  <si>
    <t>181</t>
  </si>
  <si>
    <t>182</t>
  </si>
  <si>
    <t>Шкаф трансформатора напряжения</t>
  </si>
  <si>
    <t>183</t>
  </si>
  <si>
    <t>Шинный мост 10кВ</t>
  </si>
  <si>
    <t xml:space="preserve">1.6
</t>
  </si>
  <si>
    <t>184</t>
  </si>
  <si>
    <t>Раздел 30. Материалы 35,10 кВ 11 этап</t>
  </si>
  <si>
    <t>Гирлянда изоляторов натяжная 4хПСД-70Е одноцепная для одного проводов в фазе сечением 150 мм2  (6 компл)</t>
  </si>
  <si>
    <t>185</t>
  </si>
  <si>
    <t>Изоляторы линейные подвесные стеклянные ПСД-70Е</t>
  </si>
  <si>
    <r>
      <t>ТССЦ-110-0345</t>
    </r>
    <r>
      <rPr>
        <i/>
        <sz val="10"/>
        <rFont val="Arial"/>
        <family val="2"/>
        <charset val="204"/>
      </rPr>
      <t xml:space="preserve">
</t>
    </r>
  </si>
  <si>
    <t>186</t>
  </si>
  <si>
    <r>
      <t>ТССЦ-509-1768</t>
    </r>
    <r>
      <rPr>
        <i/>
        <sz val="10"/>
        <rFont val="Arial"/>
        <family val="2"/>
        <charset val="204"/>
      </rPr>
      <t xml:space="preserve">
</t>
    </r>
  </si>
  <si>
    <t>187</t>
  </si>
  <si>
    <r>
      <t>ТССЦ-509-2949</t>
    </r>
    <r>
      <rPr>
        <i/>
        <sz val="10"/>
        <rFont val="Arial"/>
        <family val="2"/>
        <charset val="204"/>
      </rPr>
      <t xml:space="preserve">
</t>
    </r>
  </si>
  <si>
    <t>188</t>
  </si>
  <si>
    <t>Ушко однолапчатое У1-7-16</t>
  </si>
  <si>
    <r>
      <t>ТССЦ-509-1771</t>
    </r>
    <r>
      <rPr>
        <i/>
        <sz val="10"/>
        <rFont val="Arial"/>
        <family val="2"/>
        <charset val="204"/>
      </rPr>
      <t xml:space="preserve">
</t>
    </r>
  </si>
  <si>
    <t>189</t>
  </si>
  <si>
    <t>Звено промежуточное регулируемое ПРР-7-1</t>
  </si>
  <si>
    <r>
      <t>ТССЦ-110-0335</t>
    </r>
    <r>
      <rPr>
        <i/>
        <sz val="10"/>
        <rFont val="Arial"/>
        <family val="2"/>
        <charset val="204"/>
      </rPr>
      <t xml:space="preserve">
</t>
    </r>
  </si>
  <si>
    <t>190</t>
  </si>
  <si>
    <t>Зажим натяжной болтовый НБ-2-6</t>
  </si>
  <si>
    <r>
      <t>ТССЦ-509-1714</t>
    </r>
    <r>
      <rPr>
        <i/>
        <sz val="10"/>
        <rFont val="Arial"/>
        <family val="2"/>
        <charset val="204"/>
      </rPr>
      <t xml:space="preserve">
</t>
    </r>
  </si>
  <si>
    <t>Гирлянда изоляторов натяжная 8хПСД-70Е одноцепная для одного проводов в фазе сечением 150 мм2  (6 компл)</t>
  </si>
  <si>
    <t>191</t>
  </si>
  <si>
    <t>192</t>
  </si>
  <si>
    <t>193</t>
  </si>
  <si>
    <t>194</t>
  </si>
  <si>
    <t>195</t>
  </si>
  <si>
    <t>196</t>
  </si>
  <si>
    <t>Коромысло универсальное 2КУ-12-1</t>
  </si>
  <si>
    <r>
      <t>ТССЦ-509-1718</t>
    </r>
    <r>
      <rPr>
        <i/>
        <sz val="10"/>
        <rFont val="Arial"/>
        <family val="2"/>
        <charset val="204"/>
      </rPr>
      <t xml:space="preserve">
</t>
    </r>
  </si>
  <si>
    <t>197</t>
  </si>
  <si>
    <t>Звено промежуточное вывернутое ПРВ-7-1</t>
  </si>
  <si>
    <r>
      <t>ТССЦ-110-0383</t>
    </r>
    <r>
      <rPr>
        <i/>
        <sz val="10"/>
        <rFont val="Arial"/>
        <family val="2"/>
        <charset val="204"/>
      </rPr>
      <t xml:space="preserve">
</t>
    </r>
  </si>
  <si>
    <t>198</t>
  </si>
  <si>
    <t>Звено промежуточное 2 ПР-7-1</t>
  </si>
  <si>
    <t>199</t>
  </si>
  <si>
    <t>Звено промежуточное трехлапчатое ПРТ-7/12-2</t>
  </si>
  <si>
    <r>
      <t>ТССЦ-110-0327</t>
    </r>
    <r>
      <rPr>
        <i/>
        <sz val="10"/>
        <rFont val="Arial"/>
        <family val="2"/>
        <charset val="204"/>
      </rPr>
      <t xml:space="preserve">
</t>
    </r>
  </si>
  <si>
    <t>200</t>
  </si>
  <si>
    <t>Раздел 31. Материалы 35,10 кВ 11 этап</t>
  </si>
  <si>
    <t>Гирлянда изоляторов поддерживающая одноцепная 4хПСД-70Е для двух проводов  в фазе сечением 150 мм2  (11 компл)</t>
  </si>
  <si>
    <t>201</t>
  </si>
  <si>
    <t>202</t>
  </si>
  <si>
    <t>203</t>
  </si>
  <si>
    <t>204</t>
  </si>
  <si>
    <t>Зажим поддерживающий глухой ПГ-3-12</t>
  </si>
  <si>
    <r>
      <t>ТССЦ-509-5814</t>
    </r>
    <r>
      <rPr>
        <i/>
        <sz val="10"/>
        <rFont val="Arial"/>
        <family val="2"/>
        <charset val="204"/>
      </rPr>
      <t xml:space="preserve">
</t>
    </r>
  </si>
  <si>
    <t>Раздел 32. Материалы 11  этап</t>
  </si>
  <si>
    <t>205</t>
  </si>
  <si>
    <t>Провода неизолированные для воздушных линий электропередачи из стальных оцинкованных проволок 1 группы и алюминиевых проволок марки АС, сечением 150/19 мм2</t>
  </si>
  <si>
    <r>
      <t>ТССЦ-502-0323</t>
    </r>
    <r>
      <rPr>
        <i/>
        <sz val="10"/>
        <rFont val="Arial"/>
        <family val="2"/>
        <charset val="204"/>
      </rPr>
      <t xml:space="preserve">
</t>
    </r>
  </si>
  <si>
    <t>206</t>
  </si>
  <si>
    <t>Провода самонесущие изолированные для воздушных линий электропередачи с алюминиевыми жилами марки СИП-3 1х150</t>
  </si>
  <si>
    <r>
      <t>ТССЦ-502-0871</t>
    </r>
    <r>
      <rPr>
        <i/>
        <sz val="10"/>
        <rFont val="Arial"/>
        <family val="2"/>
        <charset val="204"/>
      </rPr>
      <t xml:space="preserve">
</t>
    </r>
  </si>
  <si>
    <t>1000 м</t>
  </si>
  <si>
    <t>207</t>
  </si>
  <si>
    <t>Зажимы аппаратный прессуемый А4А-150-3Т</t>
  </si>
  <si>
    <t>208</t>
  </si>
  <si>
    <t>Зажимы аппаратный прессуемый А2А-150Т-3Т</t>
  </si>
  <si>
    <t>209</t>
  </si>
  <si>
    <t>Зажим ответвительный прессуемый ОА-150-1</t>
  </si>
  <si>
    <t>210</t>
  </si>
  <si>
    <t>Шина алюминиевая 40х4мм</t>
  </si>
  <si>
    <t>м</t>
  </si>
  <si>
    <t>211</t>
  </si>
  <si>
    <t>Шина алюминиевая 80х10мм</t>
  </si>
  <si>
    <t>212</t>
  </si>
  <si>
    <t>Концевая муфта для медного 3-х жильного кабеля 10 кВ с изоляцией из сшитого полиэтилена с болтовыми наконечникам наружной установки с медными наконечниками POLT-12C/3XO-H4-L12</t>
  </si>
  <si>
    <t>213</t>
  </si>
  <si>
    <t>Концевая муфта для медного 4-х жильного кабеля с изоляцией из_x000D_
ПВХ пластиката пониженной пожароопасности и оболочкой из ПВХ композиции пониженной горючести с медными наконечниками EPKT 0063-L12</t>
  </si>
  <si>
    <t>214</t>
  </si>
  <si>
    <t>Трубы стальные сварные водогазопроводные с резьбой оцинкованные легкие, диаметр условного прохода 65 мм, толщина стенки 3,2 мм</t>
  </si>
  <si>
    <t>215</t>
  </si>
  <si>
    <t>Сталь угловая 50х50 мм</t>
  </si>
  <si>
    <r>
      <t>ТССЦ-101-2542</t>
    </r>
    <r>
      <rPr>
        <i/>
        <sz val="10"/>
        <rFont val="Arial"/>
        <family val="2"/>
        <charset val="204"/>
      </rPr>
      <t xml:space="preserve">
</t>
    </r>
  </si>
  <si>
    <t>216</t>
  </si>
  <si>
    <t>Сталь полосовая 50х5 мм, марка Ст3сп</t>
  </si>
  <si>
    <r>
      <t>ТССЦ-101-4686</t>
    </r>
    <r>
      <rPr>
        <i/>
        <sz val="10"/>
        <rFont val="Arial"/>
        <family val="2"/>
        <charset val="204"/>
      </rPr>
      <t xml:space="preserve">
</t>
    </r>
  </si>
  <si>
    <t>217</t>
  </si>
  <si>
    <t>Наконечник кабельный 16-6-5,4-ТА-УХЛ2</t>
  </si>
  <si>
    <t>218</t>
  </si>
  <si>
    <t>Кабель силовой с медными жилами с изоляцией из ПВХ_x000D_
пластиката пониженной пожароопасности с пониженным дымо- и газовыделением ПвВнг-LS-10 3х50</t>
  </si>
  <si>
    <t>219</t>
  </si>
  <si>
    <t>Зажим аппаратный прессуемый А4А-150-2</t>
  </si>
  <si>
    <r>
      <t>ТССЦ-509-5962</t>
    </r>
    <r>
      <rPr>
        <i/>
        <sz val="10"/>
        <rFont val="Arial"/>
        <family val="2"/>
        <charset val="204"/>
      </rPr>
      <t xml:space="preserve">
</t>
    </r>
  </si>
  <si>
    <t>220</t>
  </si>
  <si>
    <t>221</t>
  </si>
  <si>
    <t>Зажим аппаратный штыревой АШМ-12-1</t>
  </si>
  <si>
    <r>
      <t>ТССЦ-509-2848</t>
    </r>
    <r>
      <rPr>
        <i/>
        <sz val="10"/>
        <rFont val="Arial"/>
        <family val="2"/>
        <charset val="204"/>
      </rPr>
      <t xml:space="preserve">
</t>
    </r>
  </si>
  <si>
    <t>222</t>
  </si>
  <si>
    <t>223</t>
  </si>
  <si>
    <t>224</t>
  </si>
  <si>
    <t>Переходная пластина КП-1</t>
  </si>
  <si>
    <t>225</t>
  </si>
  <si>
    <t>226</t>
  </si>
  <si>
    <t>Провод самонесущий изолированный СИП-3 1х150-20</t>
  </si>
  <si>
    <t>227</t>
  </si>
  <si>
    <t>Изолятор опорный стержневой полимерный наружной установки ОНШП-20-10 УХЛ1</t>
  </si>
  <si>
    <t>228</t>
  </si>
  <si>
    <t>229</t>
  </si>
  <si>
    <t>230</t>
  </si>
  <si>
    <t>231</t>
  </si>
  <si>
    <t>Зажим ответвителдьный прокалывающий SL 25/2</t>
  </si>
  <si>
    <t>232</t>
  </si>
  <si>
    <t>Переходная пластина КП-3</t>
  </si>
  <si>
    <t>233</t>
  </si>
  <si>
    <t>Раздел 33. Монтажные работы 5 этап</t>
  </si>
  <si>
    <t>234</t>
  </si>
  <si>
    <r>
      <t>Металлические конструкции (Для Блоков ОИ h=5200 мм)</t>
    </r>
    <r>
      <rPr>
        <i/>
        <sz val="10"/>
        <rFont val="Arial"/>
        <family val="2"/>
        <charset val="204"/>
      </rPr>
      <t xml:space="preserve">
1 740,55 = 13 355,55 - 1 x 11 615,00</t>
    </r>
  </si>
  <si>
    <t>235</t>
  </si>
  <si>
    <t>236</t>
  </si>
  <si>
    <r>
      <t>Металлические конструкции (Для Блоков ОИ h=3200 мм)</t>
    </r>
    <r>
      <rPr>
        <i/>
        <sz val="10"/>
        <rFont val="Arial"/>
        <family val="2"/>
        <charset val="204"/>
      </rPr>
      <t xml:space="preserve">
1 740,55 = 13 355,55 - 1 x 11 615,00</t>
    </r>
  </si>
  <si>
    <t>237</t>
  </si>
  <si>
    <t>ИТОГИ ПО СМЕТЕ</t>
  </si>
  <si>
    <t>тыс. руб.</t>
  </si>
  <si>
    <t>Стройка: Реконструкция ПС 110/35/10 кВ "Мокшан"</t>
  </si>
  <si>
    <t>Открытая часть ПС. Электротехнические решения</t>
  </si>
  <si>
    <t>Кудинова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</si>
</sst>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justify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right" vertical="top"/>
    </xf>
    <xf numFmtId="0" fontId="2" fillId="0" borderId="1" xfId="0" applyFont="1" applyBorder="1"/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vertical="justify"/>
    </xf>
    <xf numFmtId="49" fontId="2" fillId="0" borderId="0" xfId="0" applyNumberFormat="1" applyFont="1" applyAlignment="1">
      <alignment vertical="justify"/>
    </xf>
    <xf numFmtId="0" fontId="2" fillId="0" borderId="0" xfId="0" applyFont="1" applyAlignment="1"/>
    <xf numFmtId="0" fontId="2" fillId="0" borderId="0" xfId="0" applyFont="1" applyAlignment="1">
      <alignment horizontal="center" vertical="justify"/>
    </xf>
    <xf numFmtId="49" fontId="2" fillId="0" borderId="0" xfId="0" applyNumberFormat="1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justify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vertical="top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4" fillId="0" borderId="3" xfId="0" applyFont="1" applyBorder="1" applyAlignment="1">
      <alignment horizontal="center" vertical="top"/>
    </xf>
    <xf numFmtId="49" fontId="2" fillId="0" borderId="3" xfId="0" quotePrefix="1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top"/>
    </xf>
    <xf numFmtId="49" fontId="4" fillId="0" borderId="3" xfId="0" quotePrefix="1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3" fontId="6" fillId="0" borderId="3" xfId="1" applyFont="1" applyBorder="1" applyAlignment="1">
      <alignment horizontal="right" vertical="top"/>
    </xf>
    <xf numFmtId="43" fontId="6" fillId="0" borderId="3" xfId="1" applyFont="1" applyBorder="1" applyAlignment="1">
      <alignment horizontal="right" vertical="top" wrapText="1"/>
    </xf>
    <xf numFmtId="43" fontId="9" fillId="0" borderId="3" xfId="1" applyFont="1" applyBorder="1" applyAlignment="1">
      <alignment horizontal="right" vertical="top"/>
    </xf>
    <xf numFmtId="43" fontId="9" fillId="0" borderId="3" xfId="1" applyFont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2012"/>
  <sheetViews>
    <sheetView showGridLines="0" tabSelected="1" topLeftCell="A526" zoomScaleNormal="100" zoomScaleSheetLayoutView="100" workbookViewId="0">
      <selection activeCell="K669" sqref="K669"/>
    </sheetView>
  </sheetViews>
  <sheetFormatPr defaultRowHeight="12.75" outlineLevelRow="1" x14ac:dyDescent="0.2"/>
  <cols>
    <col min="1" max="1" width="4.7109375" style="40" customWidth="1"/>
    <col min="2" max="2" width="4.7109375" style="3" customWidth="1"/>
    <col min="3" max="3" width="30.7109375" style="27" customWidth="1"/>
    <col min="4" max="4" width="10.7109375" style="52" customWidth="1"/>
    <col min="5" max="5" width="8.42578125" style="10" customWidth="1"/>
    <col min="6" max="6" width="9.28515625" style="10" customWidth="1"/>
    <col min="7" max="7" width="9.140625" style="10" customWidth="1"/>
    <col min="8" max="8" width="14" style="57" customWidth="1"/>
    <col min="9" max="9" width="9.140625" style="57" customWidth="1"/>
    <col min="10" max="11" width="13.5703125" style="55" bestFit="1" customWidth="1"/>
    <col min="12" max="12" width="9.140625" style="55"/>
    <col min="13" max="13" width="12.7109375" style="55" bestFit="1" customWidth="1"/>
    <col min="14" max="14" width="13.5703125" style="55" bestFit="1" customWidth="1"/>
    <col min="15" max="15" width="9.140625" style="55"/>
    <col min="16" max="17" width="13.7109375" style="55" bestFit="1" customWidth="1"/>
    <col min="18" max="18" width="9.140625" style="55"/>
    <col min="19" max="19" width="13.7109375" style="55" bestFit="1" customWidth="1"/>
    <col min="20" max="20" width="9.140625" style="55"/>
    <col min="21" max="21" width="13.5703125" style="55" bestFit="1" customWidth="1"/>
    <col min="22" max="16384" width="9.140625" style="55"/>
  </cols>
  <sheetData>
    <row r="1" spans="1:16" s="4" customFormat="1" x14ac:dyDescent="0.2">
      <c r="A1" s="1"/>
      <c r="B1" s="24"/>
      <c r="C1" s="2"/>
      <c r="D1" s="3"/>
      <c r="E1" s="2"/>
      <c r="F1" s="2"/>
      <c r="G1" s="2"/>
      <c r="H1" s="2"/>
      <c r="I1" s="2"/>
      <c r="J1" s="4" t="s">
        <v>11</v>
      </c>
      <c r="M1" s="5"/>
      <c r="N1" s="2"/>
      <c r="O1" s="2"/>
    </row>
    <row r="2" spans="1:16" s="4" customFormat="1" x14ac:dyDescent="0.2">
      <c r="A2" s="1"/>
      <c r="B2" s="24"/>
      <c r="C2" s="2"/>
      <c r="D2" s="3"/>
      <c r="E2" s="2"/>
      <c r="F2" s="2"/>
      <c r="G2" s="6"/>
      <c r="H2" s="5"/>
      <c r="I2" s="2"/>
      <c r="J2" s="4" t="s">
        <v>1</v>
      </c>
      <c r="M2" s="5"/>
      <c r="N2" s="2"/>
      <c r="O2" s="2"/>
    </row>
    <row r="3" spans="1:16" s="4" customFormat="1" x14ac:dyDescent="0.2">
      <c r="A3" s="1"/>
      <c r="B3" s="24"/>
      <c r="C3" s="2"/>
      <c r="D3" s="3"/>
      <c r="E3" s="2"/>
      <c r="F3" s="2"/>
      <c r="G3" s="2"/>
      <c r="H3" s="2"/>
      <c r="I3" s="2"/>
      <c r="J3" s="4" t="s">
        <v>2</v>
      </c>
      <c r="M3" s="5"/>
      <c r="N3" s="2"/>
      <c r="O3" s="2"/>
    </row>
    <row r="4" spans="1:16" s="4" customFormat="1" x14ac:dyDescent="0.2">
      <c r="A4" s="1"/>
      <c r="B4" s="61"/>
      <c r="C4" s="7"/>
      <c r="D4" s="8"/>
      <c r="E4" s="9"/>
      <c r="F4" s="10"/>
      <c r="G4" s="10"/>
      <c r="H4" s="10"/>
      <c r="I4" s="10"/>
      <c r="J4" s="2"/>
      <c r="K4" s="2"/>
      <c r="L4" s="10"/>
      <c r="M4" s="63" t="s">
        <v>3</v>
      </c>
      <c r="N4" s="64"/>
      <c r="O4" s="30"/>
      <c r="P4" s="59"/>
    </row>
    <row r="5" spans="1:16" s="4" customFormat="1" x14ac:dyDescent="0.2">
      <c r="A5" s="1"/>
      <c r="B5" s="61"/>
      <c r="C5" s="7"/>
      <c r="D5" s="8"/>
      <c r="E5" s="9"/>
      <c r="F5" s="10"/>
      <c r="G5" s="10"/>
      <c r="H5" s="10"/>
      <c r="I5" s="5"/>
      <c r="J5" s="10"/>
      <c r="K5" s="10"/>
      <c r="L5" s="11" t="s">
        <v>4</v>
      </c>
      <c r="M5" s="63">
        <v>322006</v>
      </c>
      <c r="N5" s="64"/>
      <c r="O5" s="30"/>
      <c r="P5" s="59"/>
    </row>
    <row r="6" spans="1:16" s="4" customFormat="1" x14ac:dyDescent="0.2">
      <c r="A6" s="124" t="s">
        <v>27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11" t="s">
        <v>5</v>
      </c>
      <c r="M6" s="78"/>
      <c r="N6" s="79"/>
      <c r="O6" s="30"/>
      <c r="P6" s="59"/>
    </row>
    <row r="7" spans="1:16" s="4" customFormat="1" x14ac:dyDescent="0.2">
      <c r="A7" s="1"/>
      <c r="B7" s="8"/>
      <c r="C7" s="17"/>
      <c r="D7" s="18"/>
      <c r="E7" s="19"/>
      <c r="F7" s="16" t="s">
        <v>14</v>
      </c>
      <c r="G7" s="20"/>
      <c r="H7" s="21"/>
      <c r="I7" s="22"/>
      <c r="J7" s="21"/>
      <c r="K7" s="21"/>
      <c r="L7" s="12"/>
      <c r="M7" s="80"/>
      <c r="N7" s="81"/>
      <c r="O7" s="30"/>
      <c r="P7" s="59"/>
    </row>
    <row r="8" spans="1:16" s="4" customFormat="1" x14ac:dyDescent="0.2">
      <c r="A8" s="124" t="s">
        <v>28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11" t="s">
        <v>5</v>
      </c>
      <c r="M8" s="78"/>
      <c r="N8" s="79"/>
      <c r="O8" s="30"/>
      <c r="P8" s="59"/>
    </row>
    <row r="9" spans="1:16" s="4" customFormat="1" x14ac:dyDescent="0.2">
      <c r="A9" s="1"/>
      <c r="B9" s="8"/>
      <c r="C9" s="17"/>
      <c r="D9" s="18"/>
      <c r="E9" s="19"/>
      <c r="F9" s="16" t="s">
        <v>14</v>
      </c>
      <c r="G9" s="20"/>
      <c r="H9" s="21"/>
      <c r="I9" s="22"/>
      <c r="J9" s="21"/>
      <c r="K9" s="21"/>
      <c r="L9" s="2"/>
      <c r="M9" s="80"/>
      <c r="N9" s="81"/>
      <c r="O9" s="30"/>
      <c r="P9" s="59"/>
    </row>
    <row r="10" spans="1:16" s="4" customFormat="1" x14ac:dyDescent="0.2">
      <c r="A10" s="125" t="s">
        <v>642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2" t="s">
        <v>26</v>
      </c>
      <c r="M10" s="78"/>
      <c r="N10" s="79"/>
      <c r="O10" s="30"/>
      <c r="P10" s="59"/>
    </row>
    <row r="11" spans="1:16" s="4" customFormat="1" x14ac:dyDescent="0.2">
      <c r="A11" s="1"/>
      <c r="B11" s="8"/>
      <c r="C11" s="17"/>
      <c r="D11" s="18"/>
      <c r="E11" s="19"/>
      <c r="F11" s="16" t="s">
        <v>15</v>
      </c>
      <c r="G11" s="20"/>
      <c r="H11" s="21"/>
      <c r="I11" s="22"/>
      <c r="J11" s="21"/>
      <c r="K11" s="21"/>
      <c r="L11" s="2"/>
      <c r="M11" s="80"/>
      <c r="N11" s="81"/>
      <c r="O11" s="30"/>
      <c r="P11" s="59"/>
    </row>
    <row r="12" spans="1:16" s="4" customFormat="1" x14ac:dyDescent="0.2">
      <c r="A12" s="12" t="s">
        <v>29</v>
      </c>
      <c r="B12" s="3"/>
      <c r="C12" s="13"/>
      <c r="D12" s="14"/>
      <c r="E12" s="15"/>
      <c r="F12" s="11"/>
      <c r="G12" s="11"/>
      <c r="H12" s="13"/>
      <c r="I12" s="23"/>
      <c r="J12" s="13"/>
      <c r="K12" s="13"/>
      <c r="L12" s="2" t="s">
        <v>26</v>
      </c>
      <c r="M12" s="78"/>
      <c r="N12" s="79"/>
      <c r="O12" s="30"/>
      <c r="P12" s="59"/>
    </row>
    <row r="13" spans="1:16" s="4" customFormat="1" x14ac:dyDescent="0.2">
      <c r="A13" s="1"/>
      <c r="B13" s="24"/>
      <c r="C13" s="17"/>
      <c r="D13" s="18"/>
      <c r="E13" s="19"/>
      <c r="F13" s="16" t="s">
        <v>16</v>
      </c>
      <c r="G13" s="20"/>
      <c r="H13" s="21"/>
      <c r="I13" s="22"/>
      <c r="J13" s="21"/>
      <c r="K13" s="21"/>
      <c r="L13" s="12"/>
      <c r="M13" s="80"/>
      <c r="N13" s="81"/>
      <c r="O13" s="30"/>
      <c r="P13" s="59"/>
    </row>
    <row r="14" spans="1:16" s="4" customFormat="1" ht="23.25" customHeight="1" x14ac:dyDescent="0.2">
      <c r="A14" s="1"/>
      <c r="B14" s="24"/>
      <c r="C14" s="2"/>
      <c r="D14" s="8"/>
      <c r="E14" s="9"/>
      <c r="F14" s="1"/>
      <c r="G14" s="10"/>
      <c r="H14" s="10"/>
      <c r="I14" s="1"/>
      <c r="J14" s="2"/>
      <c r="K14" s="2"/>
      <c r="L14" s="11" t="s">
        <v>6</v>
      </c>
      <c r="M14" s="63"/>
      <c r="N14" s="64"/>
      <c r="O14" s="30"/>
      <c r="P14" s="59"/>
    </row>
    <row r="15" spans="1:16" s="4" customFormat="1" ht="22.5" customHeight="1" x14ac:dyDescent="0.2">
      <c r="A15" s="1"/>
      <c r="B15" s="24"/>
      <c r="C15" s="2"/>
      <c r="D15" s="8"/>
      <c r="E15" s="9"/>
      <c r="F15" s="1"/>
      <c r="G15" s="10"/>
      <c r="H15" s="10"/>
      <c r="I15" s="1"/>
      <c r="J15" s="2"/>
      <c r="K15" s="2"/>
      <c r="L15" s="12"/>
      <c r="M15" s="63"/>
      <c r="N15" s="64"/>
      <c r="O15" s="23"/>
      <c r="P15" s="59"/>
    </row>
    <row r="16" spans="1:16" s="4" customFormat="1" ht="13.5" customHeight="1" x14ac:dyDescent="0.2">
      <c r="A16" s="1"/>
      <c r="B16" s="3"/>
      <c r="C16" s="2"/>
      <c r="D16" s="24"/>
      <c r="E16" s="10"/>
      <c r="F16" s="10"/>
      <c r="G16" s="10"/>
      <c r="H16" s="12"/>
      <c r="I16" s="5"/>
      <c r="J16" s="11" t="s">
        <v>7</v>
      </c>
      <c r="K16" s="75" t="s">
        <v>8</v>
      </c>
      <c r="L16" s="75"/>
      <c r="M16" s="63"/>
      <c r="N16" s="64"/>
      <c r="O16" s="30"/>
      <c r="P16" s="59"/>
    </row>
    <row r="17" spans="1:16" s="26" customFormat="1" x14ac:dyDescent="0.2">
      <c r="A17" s="2"/>
      <c r="B17" s="3"/>
      <c r="C17" s="2"/>
      <c r="D17" s="3"/>
      <c r="E17" s="2"/>
      <c r="F17" s="2"/>
      <c r="G17" s="25"/>
      <c r="H17" s="2"/>
      <c r="I17" s="5"/>
      <c r="J17" s="12"/>
      <c r="K17" s="75" t="s">
        <v>9</v>
      </c>
      <c r="L17" s="75"/>
      <c r="M17" s="63"/>
      <c r="N17" s="64"/>
      <c r="O17" s="30"/>
      <c r="P17" s="60"/>
    </row>
    <row r="18" spans="1:16" s="26" customFormat="1" x14ac:dyDescent="0.2">
      <c r="A18" s="2"/>
      <c r="B18" s="3"/>
      <c r="C18" s="2"/>
      <c r="D18" s="3"/>
      <c r="E18" s="2"/>
      <c r="F18" s="2"/>
      <c r="G18" s="25"/>
      <c r="H18" s="2"/>
      <c r="I18" s="5"/>
      <c r="J18" s="10"/>
      <c r="K18" s="75" t="s">
        <v>10</v>
      </c>
      <c r="L18" s="75"/>
      <c r="M18" s="63"/>
      <c r="N18" s="64"/>
      <c r="O18" s="30"/>
      <c r="P18" s="60"/>
    </row>
    <row r="19" spans="1:16" s="26" customFormat="1" x14ac:dyDescent="0.2">
      <c r="A19" s="27"/>
      <c r="B19" s="3"/>
      <c r="D19" s="28"/>
      <c r="E19" s="2"/>
      <c r="G19" s="25"/>
      <c r="I19" s="5"/>
      <c r="J19" s="10"/>
      <c r="K19" s="13"/>
      <c r="L19" s="13"/>
      <c r="M19" s="29"/>
      <c r="N19" s="29"/>
      <c r="O19" s="29"/>
    </row>
    <row r="20" spans="1:16" s="26" customFormat="1" x14ac:dyDescent="0.2">
      <c r="A20" s="27"/>
      <c r="B20" s="3"/>
      <c r="D20" s="28"/>
      <c r="E20" s="2"/>
      <c r="F20" s="25"/>
      <c r="G20" s="25"/>
      <c r="I20" s="5"/>
      <c r="J20" s="10"/>
      <c r="K20" s="10"/>
      <c r="L20" s="10"/>
      <c r="M20" s="30"/>
      <c r="N20" s="30"/>
      <c r="O20" s="30"/>
    </row>
    <row r="21" spans="1:16" s="26" customFormat="1" x14ac:dyDescent="0.2">
      <c r="A21" s="27"/>
      <c r="B21" s="3"/>
      <c r="D21" s="28"/>
      <c r="E21" s="2"/>
      <c r="H21" s="6" t="s">
        <v>0</v>
      </c>
      <c r="I21" s="5"/>
      <c r="J21" s="10"/>
      <c r="K21" s="10"/>
      <c r="L21" s="10"/>
      <c r="M21" s="30"/>
      <c r="N21" s="30"/>
      <c r="O21" s="30"/>
    </row>
    <row r="22" spans="1:16" s="26" customFormat="1" x14ac:dyDescent="0.2">
      <c r="A22" s="27"/>
      <c r="B22" s="3"/>
      <c r="D22" s="28"/>
      <c r="E22" s="2"/>
      <c r="H22" s="1" t="s">
        <v>46</v>
      </c>
      <c r="I22" s="5"/>
      <c r="J22" s="10"/>
      <c r="K22" s="10"/>
      <c r="L22" s="10"/>
      <c r="M22" s="30"/>
      <c r="N22" s="30"/>
      <c r="O22" s="30"/>
    </row>
    <row r="23" spans="1:16" s="26" customFormat="1" x14ac:dyDescent="0.2">
      <c r="A23" s="27"/>
      <c r="B23" s="3"/>
      <c r="D23" s="28"/>
      <c r="E23" s="2"/>
      <c r="F23" s="25"/>
      <c r="G23" s="25"/>
      <c r="H23" s="31"/>
      <c r="I23" s="5"/>
      <c r="J23" s="10"/>
      <c r="K23" s="10"/>
      <c r="L23" s="10"/>
      <c r="M23" s="30"/>
      <c r="N23" s="30"/>
      <c r="O23" s="30"/>
    </row>
    <row r="24" spans="1:16" s="26" customFormat="1" outlineLevel="1" x14ac:dyDescent="0.2">
      <c r="A24" s="27"/>
      <c r="B24" s="3"/>
      <c r="D24" s="5" t="s">
        <v>30</v>
      </c>
      <c r="E24" s="32" t="s">
        <v>643</v>
      </c>
      <c r="F24" s="33"/>
      <c r="G24" s="10"/>
      <c r="H24" s="10"/>
      <c r="I24" s="1"/>
      <c r="J24" s="10"/>
      <c r="K24" s="10"/>
      <c r="L24" s="34"/>
      <c r="M24" s="34"/>
      <c r="N24" s="30"/>
      <c r="O24" s="30"/>
    </row>
    <row r="25" spans="1:16" s="26" customFormat="1" outlineLevel="1" x14ac:dyDescent="0.2">
      <c r="A25" s="27"/>
      <c r="B25" s="3"/>
      <c r="D25" s="28"/>
      <c r="E25" s="9"/>
      <c r="F25" s="35"/>
      <c r="G25" s="21"/>
      <c r="H25" s="21"/>
      <c r="I25" s="36" t="s">
        <v>31</v>
      </c>
      <c r="J25" s="36"/>
      <c r="K25" s="21"/>
      <c r="L25" s="11"/>
      <c r="M25" s="10"/>
      <c r="N25" s="30"/>
      <c r="O25" s="30"/>
    </row>
    <row r="26" spans="1:16" s="39" customFormat="1" ht="12.75" customHeight="1" x14ac:dyDescent="0.2">
      <c r="A26" s="37"/>
      <c r="B26" s="3"/>
      <c r="C26" s="37"/>
      <c r="D26" s="38"/>
      <c r="E26" s="12"/>
      <c r="G26" s="12"/>
      <c r="H26" s="12"/>
      <c r="I26" s="5"/>
      <c r="J26" s="10"/>
      <c r="K26" s="10"/>
      <c r="L26" s="10"/>
      <c r="M26" s="30"/>
      <c r="N26" s="30"/>
      <c r="O26" s="30"/>
    </row>
    <row r="27" spans="1:16" s="4" customFormat="1" x14ac:dyDescent="0.2">
      <c r="A27" s="40"/>
      <c r="B27" s="41"/>
      <c r="C27" s="27"/>
      <c r="D27" s="41"/>
      <c r="E27" s="42" t="s">
        <v>12</v>
      </c>
      <c r="F27" s="10"/>
      <c r="G27" s="10"/>
      <c r="H27" s="12"/>
      <c r="I27" s="10"/>
      <c r="J27" s="10"/>
      <c r="K27" s="10"/>
      <c r="L27" s="10"/>
      <c r="M27" s="11"/>
      <c r="N27" s="11"/>
      <c r="O27" s="13"/>
    </row>
    <row r="28" spans="1:16" s="42" customFormat="1" x14ac:dyDescent="0.2">
      <c r="A28" s="31"/>
      <c r="B28" s="43"/>
      <c r="C28" s="30"/>
      <c r="D28" s="43"/>
      <c r="E28" s="2" t="s">
        <v>13</v>
      </c>
      <c r="F28" s="44"/>
      <c r="G28" s="76">
        <v>8492.3970000000008</v>
      </c>
      <c r="H28" s="76"/>
      <c r="I28" s="76"/>
      <c r="J28" s="2" t="s">
        <v>641</v>
      </c>
      <c r="K28" s="4"/>
      <c r="L28" s="4"/>
      <c r="M28" s="4"/>
      <c r="N28" s="4"/>
      <c r="O28" s="4"/>
    </row>
    <row r="29" spans="1:16" s="42" customFormat="1" ht="25.5" customHeight="1" x14ac:dyDescent="0.2">
      <c r="A29" s="26"/>
      <c r="B29" s="43"/>
      <c r="C29" s="26"/>
      <c r="D29" s="43"/>
      <c r="E29" s="33" t="s">
        <v>21</v>
      </c>
      <c r="F29" s="45"/>
      <c r="G29" s="45"/>
      <c r="H29" s="45"/>
      <c r="I29" s="45" t="s">
        <v>644</v>
      </c>
      <c r="J29" s="45"/>
      <c r="K29" s="26"/>
      <c r="L29" s="26"/>
      <c r="M29" s="26"/>
      <c r="N29" s="26"/>
      <c r="O29" s="26"/>
    </row>
    <row r="30" spans="1:16" s="42" customFormat="1" x14ac:dyDescent="0.2">
      <c r="A30" s="26"/>
      <c r="B30" s="43"/>
      <c r="C30" s="26"/>
      <c r="D30" s="43"/>
      <c r="F30" s="77" t="s">
        <v>23</v>
      </c>
      <c r="G30" s="77"/>
      <c r="H30" s="1" t="s">
        <v>24</v>
      </c>
      <c r="I30" s="20" t="s">
        <v>25</v>
      </c>
      <c r="J30" s="20"/>
      <c r="K30" s="39"/>
      <c r="L30" s="39"/>
      <c r="M30" s="39"/>
      <c r="N30" s="39"/>
      <c r="O30" s="39"/>
    </row>
    <row r="31" spans="1:16" s="42" customFormat="1" x14ac:dyDescent="0.2">
      <c r="A31" s="26"/>
      <c r="B31" s="43"/>
      <c r="C31" s="26"/>
      <c r="D31" s="43"/>
      <c r="E31" s="2" t="s">
        <v>22</v>
      </c>
      <c r="F31" s="32"/>
      <c r="G31" s="32"/>
      <c r="H31" s="32"/>
      <c r="I31" s="32"/>
      <c r="J31" s="46"/>
      <c r="K31" s="4"/>
      <c r="L31" s="4"/>
      <c r="M31" s="4"/>
      <c r="N31" s="4"/>
      <c r="O31" s="4"/>
    </row>
    <row r="32" spans="1:16" s="42" customFormat="1" x14ac:dyDescent="0.2">
      <c r="A32" s="26"/>
      <c r="B32" s="3"/>
      <c r="C32" s="26"/>
      <c r="D32" s="47"/>
      <c r="E32" s="10"/>
      <c r="F32" s="77" t="s">
        <v>23</v>
      </c>
      <c r="G32" s="77"/>
      <c r="H32" s="1" t="s">
        <v>24</v>
      </c>
      <c r="I32" s="20" t="s">
        <v>25</v>
      </c>
      <c r="J32" s="20"/>
    </row>
    <row r="33" spans="1:21" s="42" customFormat="1" x14ac:dyDescent="0.2">
      <c r="A33" s="26"/>
      <c r="B33" s="3"/>
      <c r="C33" s="26"/>
      <c r="D33" s="47"/>
      <c r="E33" s="10"/>
      <c r="F33" s="23"/>
      <c r="G33" s="23"/>
      <c r="H33" s="1"/>
      <c r="I33" s="23"/>
      <c r="J33" s="23"/>
    </row>
    <row r="34" spans="1:21" s="42" customFormat="1" x14ac:dyDescent="0.2">
      <c r="A34" s="26"/>
      <c r="B34" s="3"/>
      <c r="C34" s="26"/>
      <c r="D34" s="47"/>
      <c r="E34" s="10"/>
      <c r="F34" s="23"/>
      <c r="G34" s="23"/>
      <c r="H34" s="1"/>
      <c r="I34" s="23"/>
      <c r="J34" s="23"/>
    </row>
    <row r="35" spans="1:21" s="42" customFormat="1" x14ac:dyDescent="0.2">
      <c r="A35" s="26"/>
      <c r="B35" s="3"/>
      <c r="C35" s="26"/>
      <c r="D35" s="47"/>
      <c r="E35" s="10"/>
      <c r="F35" s="23"/>
      <c r="G35" s="23"/>
      <c r="H35" s="1"/>
      <c r="I35" s="23"/>
      <c r="J35" s="23"/>
    </row>
    <row r="36" spans="1:21" s="42" customFormat="1" x14ac:dyDescent="0.2">
      <c r="A36" s="26"/>
      <c r="B36" s="3"/>
      <c r="C36" s="26"/>
      <c r="D36" s="47"/>
      <c r="E36" s="10"/>
      <c r="F36" s="23"/>
      <c r="G36" s="23"/>
      <c r="H36" s="1"/>
      <c r="I36" s="23"/>
      <c r="J36" s="23"/>
    </row>
    <row r="37" spans="1:21" s="42" customFormat="1" x14ac:dyDescent="0.2">
      <c r="A37" s="26"/>
      <c r="B37" s="3"/>
      <c r="C37" s="26"/>
      <c r="D37" s="47"/>
      <c r="E37" s="10"/>
      <c r="F37" s="23"/>
      <c r="G37" s="23"/>
      <c r="H37" s="1"/>
      <c r="I37" s="23"/>
      <c r="J37" s="23"/>
    </row>
    <row r="38" spans="1:21" s="42" customFormat="1" x14ac:dyDescent="0.2">
      <c r="A38" s="26"/>
      <c r="B38" s="3"/>
      <c r="C38" s="26"/>
      <c r="D38" s="47"/>
      <c r="E38" s="10"/>
      <c r="F38" s="23"/>
      <c r="G38" s="23"/>
      <c r="H38" s="1"/>
      <c r="I38" s="23"/>
      <c r="J38" s="23"/>
    </row>
    <row r="39" spans="1:21" s="42" customFormat="1" x14ac:dyDescent="0.2">
      <c r="A39" s="26"/>
      <c r="B39" s="3"/>
      <c r="C39" s="26"/>
      <c r="D39" s="47"/>
      <c r="E39" s="10"/>
      <c r="F39" s="23"/>
      <c r="G39" s="23"/>
      <c r="H39" s="1"/>
      <c r="I39" s="23"/>
      <c r="J39" s="23"/>
    </row>
    <row r="40" spans="1:21" s="42" customFormat="1" x14ac:dyDescent="0.2">
      <c r="A40" s="26"/>
      <c r="B40" s="3"/>
      <c r="C40" s="26"/>
      <c r="D40" s="47"/>
      <c r="E40" s="10"/>
      <c r="F40" s="23"/>
      <c r="G40" s="23"/>
      <c r="H40" s="1"/>
      <c r="I40" s="23"/>
      <c r="J40" s="23"/>
    </row>
    <row r="41" spans="1:21" s="42" customFormat="1" x14ac:dyDescent="0.2">
      <c r="A41" s="26"/>
      <c r="B41" s="3"/>
      <c r="C41" s="26"/>
      <c r="D41" s="47"/>
      <c r="E41" s="10"/>
      <c r="F41" s="23"/>
      <c r="G41" s="23"/>
      <c r="H41" s="1"/>
      <c r="I41" s="23"/>
      <c r="J41" s="23"/>
    </row>
    <row r="42" spans="1:21" s="42" customFormat="1" x14ac:dyDescent="0.2">
      <c r="A42" s="26"/>
      <c r="B42" s="3"/>
      <c r="C42" s="26"/>
      <c r="D42" s="47"/>
      <c r="E42" s="10"/>
      <c r="F42" s="23"/>
      <c r="G42" s="23"/>
      <c r="H42" s="1"/>
      <c r="I42" s="23"/>
      <c r="J42" s="23"/>
    </row>
    <row r="43" spans="1:21" s="54" customFormat="1" ht="27.75" customHeight="1" x14ac:dyDescent="0.2">
      <c r="A43" s="65" t="s">
        <v>17</v>
      </c>
      <c r="B43" s="66"/>
      <c r="C43" s="71" t="s">
        <v>18</v>
      </c>
      <c r="D43" s="73" t="s">
        <v>19</v>
      </c>
      <c r="E43" s="71" t="s">
        <v>32</v>
      </c>
      <c r="F43" s="69" t="s">
        <v>20</v>
      </c>
      <c r="G43" s="69" t="s">
        <v>33</v>
      </c>
      <c r="H43" s="71" t="s">
        <v>34</v>
      </c>
      <c r="I43" s="65" t="s">
        <v>44</v>
      </c>
      <c r="J43" s="84"/>
      <c r="K43" s="84"/>
      <c r="L43" s="84"/>
      <c r="M43" s="84"/>
      <c r="N43" s="84"/>
      <c r="O43" s="84"/>
      <c r="P43" s="84"/>
      <c r="Q43" s="84"/>
      <c r="R43" s="84"/>
      <c r="S43" s="85"/>
      <c r="T43" s="87" t="s">
        <v>45</v>
      </c>
      <c r="U43" s="88"/>
    </row>
    <row r="44" spans="1:21" s="54" customFormat="1" ht="21.75" customHeight="1" x14ac:dyDescent="0.2">
      <c r="A44" s="67" t="s">
        <v>35</v>
      </c>
      <c r="B44" s="68" t="s">
        <v>36</v>
      </c>
      <c r="C44" s="72"/>
      <c r="D44" s="74"/>
      <c r="E44" s="72"/>
      <c r="F44" s="70"/>
      <c r="G44" s="70"/>
      <c r="H44" s="72"/>
      <c r="I44" s="87" t="s">
        <v>40</v>
      </c>
      <c r="J44" s="90"/>
      <c r="K44" s="88"/>
      <c r="L44" s="87" t="s">
        <v>41</v>
      </c>
      <c r="M44" s="90"/>
      <c r="N44" s="88"/>
      <c r="O44" s="87" t="s">
        <v>42</v>
      </c>
      <c r="P44" s="90"/>
      <c r="Q44" s="88"/>
      <c r="R44" s="87" t="s">
        <v>43</v>
      </c>
      <c r="S44" s="88"/>
      <c r="T44" s="86"/>
      <c r="U44" s="91"/>
    </row>
    <row r="45" spans="1:21" s="54" customFormat="1" ht="120" customHeight="1" x14ac:dyDescent="0.2">
      <c r="A45" s="92"/>
      <c r="B45" s="93"/>
      <c r="C45" s="83"/>
      <c r="D45" s="94"/>
      <c r="E45" s="83"/>
      <c r="F45" s="95"/>
      <c r="G45" s="95"/>
      <c r="H45" s="83"/>
      <c r="I45" s="82" t="s">
        <v>37</v>
      </c>
      <c r="J45" s="82" t="s">
        <v>38</v>
      </c>
      <c r="K45" s="82" t="s">
        <v>39</v>
      </c>
      <c r="L45" s="82" t="s">
        <v>37</v>
      </c>
      <c r="M45" s="82" t="s">
        <v>38</v>
      </c>
      <c r="N45" s="82" t="s">
        <v>39</v>
      </c>
      <c r="O45" s="82" t="s">
        <v>37</v>
      </c>
      <c r="P45" s="82" t="s">
        <v>38</v>
      </c>
      <c r="Q45" s="82" t="s">
        <v>39</v>
      </c>
      <c r="R45" s="82" t="s">
        <v>37</v>
      </c>
      <c r="S45" s="82" t="s">
        <v>38</v>
      </c>
      <c r="T45" s="82" t="s">
        <v>37</v>
      </c>
      <c r="U45" s="82" t="s">
        <v>38</v>
      </c>
    </row>
    <row r="46" spans="1:21" s="53" customFormat="1" x14ac:dyDescent="0.2">
      <c r="A46" s="48">
        <v>1</v>
      </c>
      <c r="B46" s="49">
        <v>2</v>
      </c>
      <c r="C46" s="48">
        <v>3</v>
      </c>
      <c r="D46" s="49">
        <v>4</v>
      </c>
      <c r="E46" s="48">
        <v>5</v>
      </c>
      <c r="F46" s="48">
        <v>6</v>
      </c>
      <c r="G46" s="48">
        <v>7</v>
      </c>
      <c r="H46" s="58">
        <v>8</v>
      </c>
      <c r="I46" s="82">
        <v>9</v>
      </c>
      <c r="J46" s="82">
        <v>10</v>
      </c>
      <c r="K46" s="82">
        <v>11</v>
      </c>
      <c r="L46" s="82">
        <v>12</v>
      </c>
      <c r="M46" s="82">
        <v>13</v>
      </c>
      <c r="N46" s="82">
        <v>14</v>
      </c>
      <c r="O46" s="82">
        <v>15</v>
      </c>
      <c r="P46" s="82">
        <v>16</v>
      </c>
      <c r="Q46" s="82">
        <v>17</v>
      </c>
      <c r="R46" s="82">
        <v>18</v>
      </c>
      <c r="S46" s="82">
        <v>19</v>
      </c>
      <c r="T46" s="82">
        <v>20</v>
      </c>
      <c r="U46" s="82">
        <v>21</v>
      </c>
    </row>
    <row r="47" spans="1:21" s="56" customFormat="1" ht="22.5" customHeight="1" x14ac:dyDescent="0.2">
      <c r="A47" s="96" t="s">
        <v>47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</row>
    <row r="48" spans="1:21" s="56" customFormat="1" ht="19.149999999999999" customHeight="1" x14ac:dyDescent="0.2">
      <c r="A48" s="98" t="s">
        <v>48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</row>
    <row r="49" spans="1:21" s="56" customFormat="1" ht="19.149999999999999" customHeight="1" x14ac:dyDescent="0.2">
      <c r="A49" s="98" t="s">
        <v>49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</row>
    <row r="50" spans="1:21" s="56" customFormat="1" ht="63.75" x14ac:dyDescent="0.2">
      <c r="A50" s="100">
        <v>1</v>
      </c>
      <c r="B50" s="101" t="s">
        <v>50</v>
      </c>
      <c r="C50" s="102" t="s">
        <v>52</v>
      </c>
      <c r="D50" s="103" t="s">
        <v>54</v>
      </c>
      <c r="E50" s="104" t="s">
        <v>55</v>
      </c>
      <c r="F50" s="105">
        <v>1740.55</v>
      </c>
      <c r="G50" s="105">
        <v>0.8</v>
      </c>
      <c r="H50" s="106">
        <v>1392.44</v>
      </c>
      <c r="I50" s="106">
        <v>0.8</v>
      </c>
      <c r="J50" s="106">
        <v>1392.44</v>
      </c>
      <c r="K50" s="106">
        <v>1392.44</v>
      </c>
      <c r="L50" s="107"/>
      <c r="M50" s="107"/>
      <c r="N50" s="107"/>
      <c r="O50" s="107"/>
      <c r="P50" s="107"/>
      <c r="Q50" s="107"/>
      <c r="R50" s="106">
        <v>0.8</v>
      </c>
      <c r="S50" s="106">
        <v>1392.44</v>
      </c>
      <c r="T50" s="107"/>
      <c r="U50" s="106"/>
    </row>
    <row r="51" spans="1:21" s="56" customFormat="1" ht="51" x14ac:dyDescent="0.2">
      <c r="A51" s="100">
        <v>2</v>
      </c>
      <c r="B51" s="101" t="s">
        <v>56</v>
      </c>
      <c r="C51" s="102" t="s">
        <v>57</v>
      </c>
      <c r="D51" s="103" t="s">
        <v>59</v>
      </c>
      <c r="E51" s="104" t="s">
        <v>60</v>
      </c>
      <c r="F51" s="105">
        <v>1998.47</v>
      </c>
      <c r="G51" s="108">
        <v>2</v>
      </c>
      <c r="H51" s="106">
        <v>3996.94</v>
      </c>
      <c r="I51" s="106">
        <v>2</v>
      </c>
      <c r="J51" s="106">
        <v>3996.94</v>
      </c>
      <c r="K51" s="106">
        <v>3996.94</v>
      </c>
      <c r="L51" s="107"/>
      <c r="M51" s="107"/>
      <c r="N51" s="107"/>
      <c r="O51" s="107"/>
      <c r="P51" s="107"/>
      <c r="Q51" s="107"/>
      <c r="R51" s="106">
        <v>2</v>
      </c>
      <c r="S51" s="106">
        <v>3996.94</v>
      </c>
      <c r="T51" s="107"/>
      <c r="U51" s="107"/>
    </row>
    <row r="52" spans="1:21" s="56" customFormat="1" ht="19.149999999999999" customHeight="1" x14ac:dyDescent="0.2">
      <c r="A52" s="98" t="s">
        <v>61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</row>
    <row r="53" spans="1:21" s="56" customFormat="1" ht="63.75" x14ac:dyDescent="0.2">
      <c r="A53" s="100">
        <v>3</v>
      </c>
      <c r="B53" s="101" t="s">
        <v>62</v>
      </c>
      <c r="C53" s="102" t="s">
        <v>64</v>
      </c>
      <c r="D53" s="103" t="s">
        <v>54</v>
      </c>
      <c r="E53" s="104" t="s">
        <v>55</v>
      </c>
      <c r="F53" s="105">
        <v>1740.55</v>
      </c>
      <c r="G53" s="105">
        <v>1.6</v>
      </c>
      <c r="H53" s="106">
        <v>2784.88</v>
      </c>
      <c r="I53" s="106">
        <v>1.6</v>
      </c>
      <c r="J53" s="106">
        <v>2784.88</v>
      </c>
      <c r="K53" s="106">
        <v>2784.88</v>
      </c>
      <c r="L53" s="107"/>
      <c r="M53" s="107"/>
      <c r="N53" s="107"/>
      <c r="O53" s="107"/>
      <c r="P53" s="107"/>
      <c r="Q53" s="107"/>
      <c r="R53" s="106">
        <v>1.6</v>
      </c>
      <c r="S53" s="106">
        <v>2784.88</v>
      </c>
      <c r="T53" s="107"/>
      <c r="U53" s="106"/>
    </row>
    <row r="54" spans="1:21" s="56" customFormat="1" ht="51" x14ac:dyDescent="0.2">
      <c r="A54" s="100">
        <v>4</v>
      </c>
      <c r="B54" s="101" t="s">
        <v>65</v>
      </c>
      <c r="C54" s="102" t="s">
        <v>57</v>
      </c>
      <c r="D54" s="103" t="s">
        <v>59</v>
      </c>
      <c r="E54" s="104" t="s">
        <v>60</v>
      </c>
      <c r="F54" s="105">
        <v>1998.47</v>
      </c>
      <c r="G54" s="108">
        <v>4</v>
      </c>
      <c r="H54" s="106">
        <v>7993.88</v>
      </c>
      <c r="I54" s="106">
        <v>4</v>
      </c>
      <c r="J54" s="106">
        <v>7993.88</v>
      </c>
      <c r="K54" s="106">
        <v>7993.88</v>
      </c>
      <c r="L54" s="107"/>
      <c r="M54" s="107"/>
      <c r="N54" s="107"/>
      <c r="O54" s="107"/>
      <c r="P54" s="107"/>
      <c r="Q54" s="107"/>
      <c r="R54" s="106">
        <v>4</v>
      </c>
      <c r="S54" s="106">
        <v>7993.88</v>
      </c>
      <c r="T54" s="107"/>
      <c r="U54" s="107"/>
    </row>
    <row r="55" spans="1:21" s="56" customFormat="1" ht="19.149999999999999" customHeight="1" x14ac:dyDescent="0.2">
      <c r="A55" s="98" t="s">
        <v>66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</row>
    <row r="56" spans="1:21" s="56" customFormat="1" ht="51" x14ac:dyDescent="0.2">
      <c r="A56" s="100">
        <v>5</v>
      </c>
      <c r="B56" s="101" t="s">
        <v>67</v>
      </c>
      <c r="C56" s="102" t="s">
        <v>69</v>
      </c>
      <c r="D56" s="103" t="s">
        <v>54</v>
      </c>
      <c r="E56" s="104" t="s">
        <v>55</v>
      </c>
      <c r="F56" s="105">
        <v>1740.55</v>
      </c>
      <c r="G56" s="105">
        <v>2.1</v>
      </c>
      <c r="H56" s="106">
        <v>3655.16</v>
      </c>
      <c r="I56" s="106">
        <v>2.1</v>
      </c>
      <c r="J56" s="106">
        <v>3655.16</v>
      </c>
      <c r="K56" s="106">
        <v>3655.16</v>
      </c>
      <c r="L56" s="107"/>
      <c r="M56" s="107"/>
      <c r="N56" s="107"/>
      <c r="O56" s="107"/>
      <c r="P56" s="107"/>
      <c r="Q56" s="107"/>
      <c r="R56" s="106">
        <v>2.1</v>
      </c>
      <c r="S56" s="106">
        <v>3655.16</v>
      </c>
      <c r="T56" s="107"/>
      <c r="U56" s="107"/>
    </row>
    <row r="57" spans="1:21" s="56" customFormat="1" ht="38.25" x14ac:dyDescent="0.2">
      <c r="A57" s="100">
        <v>6</v>
      </c>
      <c r="B57" s="101" t="s">
        <v>70</v>
      </c>
      <c r="C57" s="102" t="s">
        <v>71</v>
      </c>
      <c r="D57" s="103" t="s">
        <v>73</v>
      </c>
      <c r="E57" s="104" t="s">
        <v>74</v>
      </c>
      <c r="F57" s="105">
        <v>1586.8</v>
      </c>
      <c r="G57" s="108">
        <v>6</v>
      </c>
      <c r="H57" s="106">
        <v>9520.7999999999993</v>
      </c>
      <c r="I57" s="106">
        <v>6</v>
      </c>
      <c r="J57" s="106">
        <v>9520.7999999999993</v>
      </c>
      <c r="K57" s="106">
        <v>9520.7999999999993</v>
      </c>
      <c r="L57" s="107"/>
      <c r="M57" s="107"/>
      <c r="N57" s="107"/>
      <c r="O57" s="107"/>
      <c r="P57" s="107"/>
      <c r="Q57" s="107"/>
      <c r="R57" s="106">
        <v>6</v>
      </c>
      <c r="S57" s="106">
        <v>9520.7999999999993</v>
      </c>
      <c r="T57" s="107"/>
      <c r="U57" s="107"/>
    </row>
    <row r="58" spans="1:21" s="56" customFormat="1" x14ac:dyDescent="0.2">
      <c r="A58" s="109" t="s">
        <v>75</v>
      </c>
      <c r="B58" s="110"/>
      <c r="C58" s="110"/>
      <c r="D58" s="110"/>
      <c r="E58" s="104"/>
      <c r="F58" s="105"/>
      <c r="G58" s="105"/>
      <c r="H58" s="126">
        <f>37751.95*5.8108</f>
        <v>219369.03106000001</v>
      </c>
      <c r="I58" s="127"/>
      <c r="J58" s="126">
        <f>H58</f>
        <v>219369.03106000001</v>
      </c>
      <c r="K58" s="126">
        <f>J58</f>
        <v>219369.03106000001</v>
      </c>
      <c r="L58" s="127"/>
      <c r="M58" s="126"/>
      <c r="N58" s="126">
        <f>K58</f>
        <v>219369.03106000001</v>
      </c>
      <c r="O58" s="127"/>
      <c r="P58" s="126"/>
      <c r="Q58" s="126">
        <f>N58</f>
        <v>219369.03106000001</v>
      </c>
      <c r="R58" s="127"/>
      <c r="S58" s="126">
        <f>Q58</f>
        <v>219369.03106000001</v>
      </c>
      <c r="T58" s="107"/>
      <c r="U58" s="106"/>
    </row>
    <row r="59" spans="1:21" s="56" customFormat="1" outlineLevel="1" x14ac:dyDescent="0.2">
      <c r="A59" s="111" t="s">
        <v>76</v>
      </c>
      <c r="B59" s="110"/>
      <c r="C59" s="110"/>
      <c r="D59" s="110"/>
      <c r="E59" s="104"/>
      <c r="F59" s="105"/>
      <c r="G59" s="105"/>
      <c r="H59" s="126">
        <f>7218.18*5.8108</f>
        <v>41943.400344000001</v>
      </c>
      <c r="I59" s="127"/>
      <c r="J59" s="126">
        <f>H59</f>
        <v>41943.400344000001</v>
      </c>
      <c r="K59" s="126">
        <f>J59</f>
        <v>41943.400344000001</v>
      </c>
      <c r="L59" s="127"/>
      <c r="M59" s="126"/>
      <c r="N59" s="126">
        <f>K59</f>
        <v>41943.400344000001</v>
      </c>
      <c r="O59" s="127"/>
      <c r="P59" s="126"/>
      <c r="Q59" s="126">
        <f>N59</f>
        <v>41943.400344000001</v>
      </c>
      <c r="R59" s="127"/>
      <c r="S59" s="126">
        <f>Q59</f>
        <v>41943.400344000001</v>
      </c>
      <c r="T59" s="107"/>
      <c r="U59" s="106"/>
    </row>
    <row r="60" spans="1:21" s="56" customFormat="1" outlineLevel="1" x14ac:dyDescent="0.2">
      <c r="A60" s="111" t="s">
        <v>77</v>
      </c>
      <c r="B60" s="110"/>
      <c r="C60" s="110"/>
      <c r="D60" s="110"/>
      <c r="E60" s="104"/>
      <c r="F60" s="105"/>
      <c r="G60" s="105"/>
      <c r="H60" s="126">
        <f>20767.44*5.8108</f>
        <v>120675.44035200001</v>
      </c>
      <c r="I60" s="127"/>
      <c r="J60" s="126">
        <f>H60</f>
        <v>120675.44035200001</v>
      </c>
      <c r="K60" s="126">
        <f>J60</f>
        <v>120675.44035200001</v>
      </c>
      <c r="L60" s="127"/>
      <c r="M60" s="126"/>
      <c r="N60" s="126">
        <f>K60</f>
        <v>120675.44035200001</v>
      </c>
      <c r="O60" s="127"/>
      <c r="P60" s="126"/>
      <c r="Q60" s="126">
        <f>N60</f>
        <v>120675.44035200001</v>
      </c>
      <c r="R60" s="127"/>
      <c r="S60" s="126">
        <f>Q60</f>
        <v>120675.44035200001</v>
      </c>
      <c r="T60" s="107"/>
      <c r="U60" s="106"/>
    </row>
    <row r="61" spans="1:21" s="56" customFormat="1" outlineLevel="1" x14ac:dyDescent="0.2">
      <c r="A61" s="111" t="s">
        <v>78</v>
      </c>
      <c r="B61" s="110"/>
      <c r="C61" s="110"/>
      <c r="D61" s="110"/>
      <c r="E61" s="104"/>
      <c r="F61" s="105"/>
      <c r="G61" s="105"/>
      <c r="H61" s="126">
        <f>11656.67*5.8108</f>
        <v>67734.578036000006</v>
      </c>
      <c r="I61" s="127"/>
      <c r="J61" s="126">
        <f>H61</f>
        <v>67734.578036000006</v>
      </c>
      <c r="K61" s="126">
        <f>J61</f>
        <v>67734.578036000006</v>
      </c>
      <c r="L61" s="127"/>
      <c r="M61" s="126"/>
      <c r="N61" s="126">
        <f>K61</f>
        <v>67734.578036000006</v>
      </c>
      <c r="O61" s="127"/>
      <c r="P61" s="126"/>
      <c r="Q61" s="126">
        <f>N61</f>
        <v>67734.578036000006</v>
      </c>
      <c r="R61" s="127"/>
      <c r="S61" s="126">
        <f>Q61</f>
        <v>67734.578036000006</v>
      </c>
      <c r="T61" s="107"/>
      <c r="U61" s="106"/>
    </row>
    <row r="62" spans="1:21" s="56" customFormat="1" x14ac:dyDescent="0.2">
      <c r="A62" s="109" t="s">
        <v>79</v>
      </c>
      <c r="B62" s="110"/>
      <c r="C62" s="110"/>
      <c r="D62" s="110"/>
      <c r="E62" s="104"/>
      <c r="F62" s="105"/>
      <c r="G62" s="105"/>
      <c r="H62" s="126">
        <f>11073.84*5.8108</f>
        <v>64347.869472000006</v>
      </c>
      <c r="I62" s="127"/>
      <c r="J62" s="126">
        <f>H62</f>
        <v>64347.869472000006</v>
      </c>
      <c r="K62" s="126">
        <f>J62</f>
        <v>64347.869472000006</v>
      </c>
      <c r="L62" s="127"/>
      <c r="M62" s="126"/>
      <c r="N62" s="126">
        <f>K62</f>
        <v>64347.869472000006</v>
      </c>
      <c r="O62" s="127"/>
      <c r="P62" s="126"/>
      <c r="Q62" s="126">
        <f>N62</f>
        <v>64347.869472000006</v>
      </c>
      <c r="R62" s="127"/>
      <c r="S62" s="126">
        <f>Q62</f>
        <v>64347.869472000006</v>
      </c>
      <c r="T62" s="107"/>
      <c r="U62" s="106"/>
    </row>
    <row r="63" spans="1:21" s="56" customFormat="1" x14ac:dyDescent="0.2">
      <c r="A63" s="109" t="s">
        <v>80</v>
      </c>
      <c r="B63" s="110"/>
      <c r="C63" s="110"/>
      <c r="D63" s="110"/>
      <c r="E63" s="104"/>
      <c r="F63" s="105"/>
      <c r="G63" s="105"/>
      <c r="H63" s="126">
        <f>7576.84*5.8108</f>
        <v>44027.501872000001</v>
      </c>
      <c r="I63" s="127"/>
      <c r="J63" s="126">
        <f>H63</f>
        <v>44027.501872000001</v>
      </c>
      <c r="K63" s="126">
        <f>J63</f>
        <v>44027.501872000001</v>
      </c>
      <c r="L63" s="127"/>
      <c r="M63" s="126"/>
      <c r="N63" s="126">
        <f>K63</f>
        <v>44027.501872000001</v>
      </c>
      <c r="O63" s="127"/>
      <c r="P63" s="126"/>
      <c r="Q63" s="126">
        <f>N63</f>
        <v>44027.501872000001</v>
      </c>
      <c r="R63" s="127"/>
      <c r="S63" s="126">
        <f>Q63</f>
        <v>44027.501872000001</v>
      </c>
      <c r="T63" s="107"/>
      <c r="U63" s="106"/>
    </row>
    <row r="64" spans="1:21" s="56" customFormat="1" x14ac:dyDescent="0.2">
      <c r="A64" s="109" t="s">
        <v>81</v>
      </c>
      <c r="B64" s="110"/>
      <c r="C64" s="110"/>
      <c r="D64" s="110"/>
      <c r="E64" s="104"/>
      <c r="F64" s="105"/>
      <c r="G64" s="105"/>
      <c r="H64" s="126">
        <f>56402.63*5.8108</f>
        <v>327744.40240399999</v>
      </c>
      <c r="I64" s="127"/>
      <c r="J64" s="126">
        <f>H64</f>
        <v>327744.40240399999</v>
      </c>
      <c r="K64" s="126">
        <f>J64</f>
        <v>327744.40240399999</v>
      </c>
      <c r="L64" s="127"/>
      <c r="M64" s="126"/>
      <c r="N64" s="126">
        <f>K64</f>
        <v>327744.40240399999</v>
      </c>
      <c r="O64" s="127"/>
      <c r="P64" s="126"/>
      <c r="Q64" s="126">
        <f>N64</f>
        <v>327744.40240399999</v>
      </c>
      <c r="R64" s="127"/>
      <c r="S64" s="126">
        <f>Q64</f>
        <v>327744.40240399999</v>
      </c>
      <c r="T64" s="107"/>
      <c r="U64" s="106"/>
    </row>
    <row r="65" spans="1:21" s="56" customFormat="1" x14ac:dyDescent="0.2">
      <c r="A65" s="109" t="s">
        <v>82</v>
      </c>
      <c r="B65" s="110"/>
      <c r="C65" s="110"/>
      <c r="D65" s="110"/>
      <c r="E65" s="104"/>
      <c r="F65" s="105"/>
      <c r="G65" s="105"/>
      <c r="H65" s="128">
        <f>56402.63*5.8108</f>
        <v>327744.40240399999</v>
      </c>
      <c r="I65" s="127"/>
      <c r="J65" s="128">
        <f>H65</f>
        <v>327744.40240399999</v>
      </c>
      <c r="K65" s="128">
        <f>J65</f>
        <v>327744.40240399999</v>
      </c>
      <c r="L65" s="127"/>
      <c r="M65" s="128"/>
      <c r="N65" s="128">
        <f>K65</f>
        <v>327744.40240399999</v>
      </c>
      <c r="O65" s="127"/>
      <c r="P65" s="128"/>
      <c r="Q65" s="128">
        <f>N65</f>
        <v>327744.40240399999</v>
      </c>
      <c r="R65" s="127"/>
      <c r="S65" s="128">
        <f>Q65</f>
        <v>327744.40240399999</v>
      </c>
      <c r="T65" s="107"/>
      <c r="U65" s="112"/>
    </row>
    <row r="66" spans="1:21" s="56" customFormat="1" ht="22.5" customHeight="1" x14ac:dyDescent="0.2">
      <c r="A66" s="96" t="s">
        <v>83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</row>
    <row r="67" spans="1:21" s="56" customFormat="1" ht="19.149999999999999" customHeight="1" x14ac:dyDescent="0.2">
      <c r="A67" s="98" t="s">
        <v>48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</row>
    <row r="68" spans="1:21" s="56" customFormat="1" ht="19.149999999999999" customHeight="1" x14ac:dyDescent="0.2">
      <c r="A68" s="98" t="s">
        <v>84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</row>
    <row r="69" spans="1:21" s="56" customFormat="1" ht="38.25" x14ac:dyDescent="0.2">
      <c r="A69" s="100">
        <v>7</v>
      </c>
      <c r="B69" s="101" t="s">
        <v>85</v>
      </c>
      <c r="C69" s="102" t="s">
        <v>86</v>
      </c>
      <c r="D69" s="103" t="s">
        <v>87</v>
      </c>
      <c r="E69" s="104" t="s">
        <v>88</v>
      </c>
      <c r="F69" s="105">
        <v>20145.27</v>
      </c>
      <c r="G69" s="108">
        <v>2</v>
      </c>
      <c r="H69" s="106">
        <v>40290.54</v>
      </c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6">
        <v>2</v>
      </c>
      <c r="U69" s="106">
        <v>40290.54</v>
      </c>
    </row>
    <row r="70" spans="1:21" s="56" customFormat="1" ht="38.25" x14ac:dyDescent="0.2">
      <c r="A70" s="100">
        <v>8</v>
      </c>
      <c r="B70" s="101" t="s">
        <v>89</v>
      </c>
      <c r="C70" s="102" t="s">
        <v>90</v>
      </c>
      <c r="D70" s="103" t="s">
        <v>91</v>
      </c>
      <c r="E70" s="104" t="s">
        <v>55</v>
      </c>
      <c r="F70" s="105">
        <v>214.81</v>
      </c>
      <c r="G70" s="105">
        <v>28.2</v>
      </c>
      <c r="H70" s="106">
        <v>6057.64</v>
      </c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6">
        <v>28.2</v>
      </c>
      <c r="U70" s="106">
        <v>6057.64</v>
      </c>
    </row>
    <row r="71" spans="1:21" s="56" customFormat="1" ht="51" x14ac:dyDescent="0.2">
      <c r="A71" s="100">
        <v>9</v>
      </c>
      <c r="B71" s="101" t="s">
        <v>92</v>
      </c>
      <c r="C71" s="102" t="s">
        <v>93</v>
      </c>
      <c r="D71" s="103" t="s">
        <v>94</v>
      </c>
      <c r="E71" s="104" t="s">
        <v>55</v>
      </c>
      <c r="F71" s="105">
        <v>71.08</v>
      </c>
      <c r="G71" s="105">
        <v>28.2</v>
      </c>
      <c r="H71" s="106">
        <v>2004.46</v>
      </c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6">
        <v>28.2</v>
      </c>
      <c r="U71" s="106">
        <v>2004.46</v>
      </c>
    </row>
    <row r="72" spans="1:21" s="56" customFormat="1" ht="51" x14ac:dyDescent="0.2">
      <c r="A72" s="100">
        <v>10</v>
      </c>
      <c r="B72" s="101" t="s">
        <v>95</v>
      </c>
      <c r="C72" s="102" t="s">
        <v>96</v>
      </c>
      <c r="D72" s="103" t="s">
        <v>54</v>
      </c>
      <c r="E72" s="104" t="s">
        <v>55</v>
      </c>
      <c r="F72" s="105">
        <v>1740.55</v>
      </c>
      <c r="G72" s="105">
        <v>0.5</v>
      </c>
      <c r="H72" s="106">
        <v>870.28</v>
      </c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6">
        <v>0.5</v>
      </c>
      <c r="U72" s="106">
        <v>870.28</v>
      </c>
    </row>
    <row r="73" spans="1:21" s="56" customFormat="1" ht="38.25" x14ac:dyDescent="0.2">
      <c r="A73" s="100">
        <v>11</v>
      </c>
      <c r="B73" s="101" t="s">
        <v>97</v>
      </c>
      <c r="C73" s="102" t="s">
        <v>98</v>
      </c>
      <c r="D73" s="103" t="s">
        <v>99</v>
      </c>
      <c r="E73" s="104" t="s">
        <v>88</v>
      </c>
      <c r="F73" s="105">
        <v>599.83000000000004</v>
      </c>
      <c r="G73" s="108">
        <v>2</v>
      </c>
      <c r="H73" s="106">
        <v>1199.6600000000001</v>
      </c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6">
        <v>2</v>
      </c>
      <c r="U73" s="106">
        <v>1199.6600000000001</v>
      </c>
    </row>
    <row r="74" spans="1:21" s="56" customFormat="1" ht="76.5" x14ac:dyDescent="0.2">
      <c r="A74" s="100">
        <v>12</v>
      </c>
      <c r="B74" s="101" t="s">
        <v>100</v>
      </c>
      <c r="C74" s="102" t="s">
        <v>101</v>
      </c>
      <c r="D74" s="103" t="s">
        <v>73</v>
      </c>
      <c r="E74" s="104" t="s">
        <v>74</v>
      </c>
      <c r="F74" s="105">
        <v>528.88</v>
      </c>
      <c r="G74" s="108">
        <v>2</v>
      </c>
      <c r="H74" s="106">
        <v>1057.76</v>
      </c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6">
        <v>2</v>
      </c>
      <c r="U74" s="106">
        <v>1057.76</v>
      </c>
    </row>
    <row r="75" spans="1:21" s="56" customFormat="1" ht="38.25" x14ac:dyDescent="0.2">
      <c r="A75" s="100">
        <v>13</v>
      </c>
      <c r="B75" s="101" t="s">
        <v>102</v>
      </c>
      <c r="C75" s="102" t="s">
        <v>103</v>
      </c>
      <c r="D75" s="103" t="s">
        <v>104</v>
      </c>
      <c r="E75" s="104" t="s">
        <v>105</v>
      </c>
      <c r="F75" s="105">
        <v>743.52</v>
      </c>
      <c r="G75" s="105">
        <v>0.27400000000000002</v>
      </c>
      <c r="H75" s="106">
        <v>203.72</v>
      </c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6">
        <v>0.27400000000000002</v>
      </c>
      <c r="U75" s="106">
        <v>203.72</v>
      </c>
    </row>
    <row r="76" spans="1:21" s="56" customFormat="1" ht="63.75" x14ac:dyDescent="0.2">
      <c r="A76" s="100">
        <v>14</v>
      </c>
      <c r="B76" s="101" t="s">
        <v>106</v>
      </c>
      <c r="C76" s="102" t="s">
        <v>107</v>
      </c>
      <c r="D76" s="103" t="s">
        <v>108</v>
      </c>
      <c r="E76" s="104" t="s">
        <v>109</v>
      </c>
      <c r="F76" s="105">
        <v>7.46</v>
      </c>
      <c r="G76" s="105">
        <v>10.86</v>
      </c>
      <c r="H76" s="106">
        <v>81.02</v>
      </c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6">
        <v>10.86</v>
      </c>
      <c r="U76" s="106">
        <v>81.02</v>
      </c>
    </row>
    <row r="77" spans="1:21" s="56" customFormat="1" ht="63.75" x14ac:dyDescent="0.2">
      <c r="A77" s="100">
        <v>15</v>
      </c>
      <c r="B77" s="101" t="s">
        <v>110</v>
      </c>
      <c r="C77" s="102" t="s">
        <v>111</v>
      </c>
      <c r="D77" s="103" t="s">
        <v>112</v>
      </c>
      <c r="E77" s="104" t="s">
        <v>113</v>
      </c>
      <c r="F77" s="105">
        <v>1.1499999999999999</v>
      </c>
      <c r="G77" s="105">
        <v>10.86</v>
      </c>
      <c r="H77" s="106">
        <v>12.49</v>
      </c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6">
        <v>10.86</v>
      </c>
      <c r="U77" s="106">
        <v>12.49</v>
      </c>
    </row>
    <row r="78" spans="1:21" s="56" customFormat="1" ht="89.25" x14ac:dyDescent="0.2">
      <c r="A78" s="100">
        <v>16</v>
      </c>
      <c r="B78" s="101" t="s">
        <v>114</v>
      </c>
      <c r="C78" s="102" t="s">
        <v>115</v>
      </c>
      <c r="D78" s="103" t="s">
        <v>116</v>
      </c>
      <c r="E78" s="104" t="s">
        <v>117</v>
      </c>
      <c r="F78" s="105">
        <v>370.41</v>
      </c>
      <c r="G78" s="105">
        <v>0.1086</v>
      </c>
      <c r="H78" s="106">
        <v>40.229999999999997</v>
      </c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6">
        <v>0.1086</v>
      </c>
      <c r="U78" s="106">
        <v>40.229999999999997</v>
      </c>
    </row>
    <row r="79" spans="1:21" s="56" customFormat="1" ht="140.25" x14ac:dyDescent="0.2">
      <c r="A79" s="100">
        <v>17</v>
      </c>
      <c r="B79" s="101" t="s">
        <v>118</v>
      </c>
      <c r="C79" s="102" t="s">
        <v>119</v>
      </c>
      <c r="D79" s="103" t="s">
        <v>120</v>
      </c>
      <c r="E79" s="104" t="s">
        <v>117</v>
      </c>
      <c r="F79" s="105">
        <v>609.26</v>
      </c>
      <c r="G79" s="105">
        <v>0.1086</v>
      </c>
      <c r="H79" s="106">
        <v>66.17</v>
      </c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6">
        <v>0.1086</v>
      </c>
      <c r="U79" s="106">
        <v>66.17</v>
      </c>
    </row>
    <row r="80" spans="1:21" s="56" customFormat="1" x14ac:dyDescent="0.2">
      <c r="A80" s="109" t="s">
        <v>75</v>
      </c>
      <c r="B80" s="110"/>
      <c r="C80" s="110"/>
      <c r="D80" s="110"/>
      <c r="E80" s="104"/>
      <c r="F80" s="105"/>
      <c r="G80" s="105"/>
      <c r="H80" s="126">
        <f>69310.71*5.8108</f>
        <v>402750.67366800009</v>
      </c>
      <c r="I80" s="107"/>
      <c r="J80" s="106"/>
      <c r="K80" s="106"/>
      <c r="L80" s="107"/>
      <c r="M80" s="106"/>
      <c r="N80" s="106"/>
      <c r="O80" s="107"/>
      <c r="P80" s="106"/>
      <c r="Q80" s="106"/>
      <c r="R80" s="107"/>
      <c r="S80" s="106"/>
      <c r="T80" s="107"/>
      <c r="U80" s="126">
        <f>H80</f>
        <v>402750.67366800009</v>
      </c>
    </row>
    <row r="81" spans="1:21" s="56" customFormat="1" outlineLevel="1" x14ac:dyDescent="0.2">
      <c r="A81" s="111" t="s">
        <v>76</v>
      </c>
      <c r="B81" s="110"/>
      <c r="C81" s="110"/>
      <c r="D81" s="110"/>
      <c r="E81" s="104"/>
      <c r="F81" s="105"/>
      <c r="G81" s="105"/>
      <c r="H81" s="126">
        <f>6087.17*5.8108</f>
        <v>35371.327436</v>
      </c>
      <c r="I81" s="107"/>
      <c r="J81" s="106"/>
      <c r="K81" s="106"/>
      <c r="L81" s="107"/>
      <c r="M81" s="106"/>
      <c r="N81" s="106"/>
      <c r="O81" s="107"/>
      <c r="P81" s="106"/>
      <c r="Q81" s="106"/>
      <c r="R81" s="107"/>
      <c r="S81" s="106"/>
      <c r="T81" s="107"/>
      <c r="U81" s="126">
        <f>H81</f>
        <v>35371.327436</v>
      </c>
    </row>
    <row r="82" spans="1:21" s="56" customFormat="1" outlineLevel="1" x14ac:dyDescent="0.2">
      <c r="A82" s="111" t="s">
        <v>77</v>
      </c>
      <c r="B82" s="110"/>
      <c r="C82" s="110"/>
      <c r="D82" s="110"/>
      <c r="E82" s="104"/>
      <c r="F82" s="105"/>
      <c r="G82" s="105"/>
      <c r="H82" s="126">
        <f>46529.99*5.8108</f>
        <v>270376.46589200001</v>
      </c>
      <c r="I82" s="107"/>
      <c r="J82" s="106"/>
      <c r="K82" s="106"/>
      <c r="L82" s="107"/>
      <c r="M82" s="106"/>
      <c r="N82" s="106"/>
      <c r="O82" s="107"/>
      <c r="P82" s="106"/>
      <c r="Q82" s="106"/>
      <c r="R82" s="107"/>
      <c r="S82" s="106"/>
      <c r="T82" s="107"/>
      <c r="U82" s="126">
        <f>H82</f>
        <v>270376.46589200001</v>
      </c>
    </row>
    <row r="83" spans="1:21" s="56" customFormat="1" outlineLevel="1" x14ac:dyDescent="0.2">
      <c r="A83" s="111" t="s">
        <v>78</v>
      </c>
      <c r="B83" s="110"/>
      <c r="C83" s="110"/>
      <c r="D83" s="110"/>
      <c r="E83" s="104"/>
      <c r="F83" s="105"/>
      <c r="G83" s="105"/>
      <c r="H83" s="126">
        <f>19888.86*5.8108</f>
        <v>115570.18768800001</v>
      </c>
      <c r="I83" s="107"/>
      <c r="J83" s="106"/>
      <c r="K83" s="106"/>
      <c r="L83" s="107"/>
      <c r="M83" s="106"/>
      <c r="N83" s="106"/>
      <c r="O83" s="107"/>
      <c r="P83" s="106"/>
      <c r="Q83" s="106"/>
      <c r="R83" s="107"/>
      <c r="S83" s="106"/>
      <c r="T83" s="107"/>
      <c r="U83" s="126">
        <f>H83</f>
        <v>115570.18768800001</v>
      </c>
    </row>
    <row r="84" spans="1:21" s="56" customFormat="1" x14ac:dyDescent="0.2">
      <c r="A84" s="109" t="s">
        <v>79</v>
      </c>
      <c r="B84" s="110"/>
      <c r="C84" s="110"/>
      <c r="D84" s="110"/>
      <c r="E84" s="104"/>
      <c r="F84" s="105"/>
      <c r="G84" s="105"/>
      <c r="H84" s="126">
        <f>18886.27*5.8108</f>
        <v>109744.33771600001</v>
      </c>
      <c r="I84" s="107"/>
      <c r="J84" s="106"/>
      <c r="K84" s="106"/>
      <c r="L84" s="107"/>
      <c r="M84" s="106"/>
      <c r="N84" s="106"/>
      <c r="O84" s="107"/>
      <c r="P84" s="106"/>
      <c r="Q84" s="106"/>
      <c r="R84" s="107"/>
      <c r="S84" s="106"/>
      <c r="T84" s="107"/>
      <c r="U84" s="126">
        <f>H84</f>
        <v>109744.33771600001</v>
      </c>
    </row>
    <row r="85" spans="1:21" s="56" customFormat="1" x14ac:dyDescent="0.2">
      <c r="A85" s="109" t="s">
        <v>80</v>
      </c>
      <c r="B85" s="110"/>
      <c r="C85" s="110"/>
      <c r="D85" s="110"/>
      <c r="E85" s="104"/>
      <c r="F85" s="105"/>
      <c r="G85" s="105"/>
      <c r="H85" s="126">
        <f>12935.91*5.8108</f>
        <v>75167.985828000004</v>
      </c>
      <c r="I85" s="107"/>
      <c r="J85" s="106"/>
      <c r="K85" s="106"/>
      <c r="L85" s="107"/>
      <c r="M85" s="106"/>
      <c r="N85" s="106"/>
      <c r="O85" s="107"/>
      <c r="P85" s="106"/>
      <c r="Q85" s="106"/>
      <c r="R85" s="107"/>
      <c r="S85" s="106"/>
      <c r="T85" s="107"/>
      <c r="U85" s="126">
        <f>H85</f>
        <v>75167.985828000004</v>
      </c>
    </row>
    <row r="86" spans="1:21" s="56" customFormat="1" x14ac:dyDescent="0.2">
      <c r="A86" s="109" t="s">
        <v>81</v>
      </c>
      <c r="B86" s="110"/>
      <c r="C86" s="110"/>
      <c r="D86" s="110"/>
      <c r="E86" s="104"/>
      <c r="F86" s="105"/>
      <c r="G86" s="105"/>
      <c r="H86" s="126">
        <f>101132.89*5.8108</f>
        <v>587662.99721200007</v>
      </c>
      <c r="I86" s="107"/>
      <c r="J86" s="106"/>
      <c r="K86" s="106"/>
      <c r="L86" s="107"/>
      <c r="M86" s="106"/>
      <c r="N86" s="106"/>
      <c r="O86" s="107"/>
      <c r="P86" s="106"/>
      <c r="Q86" s="106"/>
      <c r="R86" s="107"/>
      <c r="S86" s="106"/>
      <c r="T86" s="107"/>
      <c r="U86" s="126">
        <f>H86</f>
        <v>587662.99721200007</v>
      </c>
    </row>
    <row r="87" spans="1:21" s="56" customFormat="1" x14ac:dyDescent="0.2">
      <c r="A87" s="109" t="s">
        <v>82</v>
      </c>
      <c r="B87" s="110"/>
      <c r="C87" s="110"/>
      <c r="D87" s="110"/>
      <c r="E87" s="104"/>
      <c r="F87" s="105"/>
      <c r="G87" s="105"/>
      <c r="H87" s="128">
        <f>101132.89*5.8108</f>
        <v>587662.99721200007</v>
      </c>
      <c r="I87" s="107"/>
      <c r="J87" s="112"/>
      <c r="K87" s="112"/>
      <c r="L87" s="107"/>
      <c r="M87" s="112"/>
      <c r="N87" s="112"/>
      <c r="O87" s="107"/>
      <c r="P87" s="112"/>
      <c r="Q87" s="112"/>
      <c r="R87" s="107"/>
      <c r="S87" s="112"/>
      <c r="T87" s="107"/>
      <c r="U87" s="128">
        <f>H87</f>
        <v>587662.99721200007</v>
      </c>
    </row>
    <row r="88" spans="1:21" s="56" customFormat="1" ht="22.5" customHeight="1" x14ac:dyDescent="0.2">
      <c r="A88" s="96" t="s">
        <v>121</v>
      </c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</row>
    <row r="89" spans="1:21" s="56" customFormat="1" ht="19.149999999999999" customHeight="1" x14ac:dyDescent="0.2">
      <c r="A89" s="98" t="s">
        <v>48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</row>
    <row r="90" spans="1:21" s="56" customFormat="1" ht="19.149999999999999" customHeight="1" x14ac:dyDescent="0.2">
      <c r="A90" s="98" t="s">
        <v>122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</row>
    <row r="91" spans="1:21" s="56" customFormat="1" ht="63.75" x14ac:dyDescent="0.2">
      <c r="A91" s="113">
        <v>18</v>
      </c>
      <c r="B91" s="114" t="s">
        <v>123</v>
      </c>
      <c r="C91" s="115" t="s">
        <v>124</v>
      </c>
      <c r="D91" s="116" t="s">
        <v>53</v>
      </c>
      <c r="E91" s="117" t="s">
        <v>55</v>
      </c>
      <c r="F91" s="118">
        <v>1740.55</v>
      </c>
      <c r="G91" s="118">
        <v>6.4</v>
      </c>
      <c r="H91" s="119">
        <v>11139.52</v>
      </c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19">
        <v>6.4</v>
      </c>
      <c r="U91" s="119">
        <v>11139.52</v>
      </c>
    </row>
    <row r="92" spans="1:21" s="56" customFormat="1" ht="51" x14ac:dyDescent="0.2">
      <c r="A92" s="113">
        <v>19</v>
      </c>
      <c r="B92" s="114" t="s">
        <v>125</v>
      </c>
      <c r="C92" s="115" t="s">
        <v>126</v>
      </c>
      <c r="D92" s="116" t="s">
        <v>127</v>
      </c>
      <c r="E92" s="117" t="s">
        <v>74</v>
      </c>
      <c r="F92" s="118">
        <v>2635.3</v>
      </c>
      <c r="G92" s="120">
        <v>8</v>
      </c>
      <c r="H92" s="119">
        <v>21082.400000000001</v>
      </c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19">
        <v>8</v>
      </c>
      <c r="U92" s="119">
        <v>21082.400000000001</v>
      </c>
    </row>
    <row r="93" spans="1:21" s="56" customFormat="1" ht="51" x14ac:dyDescent="0.2">
      <c r="A93" s="100">
        <v>20</v>
      </c>
      <c r="B93" s="101" t="s">
        <v>128</v>
      </c>
      <c r="C93" s="102" t="s">
        <v>129</v>
      </c>
      <c r="D93" s="103" t="s">
        <v>131</v>
      </c>
      <c r="E93" s="104" t="s">
        <v>55</v>
      </c>
      <c r="F93" s="105">
        <v>986.5</v>
      </c>
      <c r="G93" s="105">
        <v>1.95E-2</v>
      </c>
      <c r="H93" s="106">
        <v>19.239999999999998</v>
      </c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6">
        <v>1.95E-2</v>
      </c>
      <c r="U93" s="106">
        <v>19.239999999999998</v>
      </c>
    </row>
    <row r="94" spans="1:21" s="56" customFormat="1" ht="19.149999999999999" customHeight="1" x14ac:dyDescent="0.2">
      <c r="A94" s="98" t="s">
        <v>49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</row>
    <row r="95" spans="1:21" s="56" customFormat="1" ht="63.75" x14ac:dyDescent="0.2">
      <c r="A95" s="113">
        <v>21</v>
      </c>
      <c r="B95" s="114" t="s">
        <v>132</v>
      </c>
      <c r="C95" s="115" t="s">
        <v>51</v>
      </c>
      <c r="D95" s="116" t="s">
        <v>53</v>
      </c>
      <c r="E95" s="117" t="s">
        <v>55</v>
      </c>
      <c r="F95" s="118">
        <v>1740.55</v>
      </c>
      <c r="G95" s="118">
        <v>0.8</v>
      </c>
      <c r="H95" s="119">
        <v>1392.44</v>
      </c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19">
        <v>0.8</v>
      </c>
      <c r="U95" s="119">
        <v>1392.44</v>
      </c>
    </row>
    <row r="96" spans="1:21" s="56" customFormat="1" ht="51" x14ac:dyDescent="0.2">
      <c r="A96" s="113">
        <v>22</v>
      </c>
      <c r="B96" s="114" t="s">
        <v>133</v>
      </c>
      <c r="C96" s="115" t="s">
        <v>57</v>
      </c>
      <c r="D96" s="116" t="s">
        <v>58</v>
      </c>
      <c r="E96" s="117" t="s">
        <v>60</v>
      </c>
      <c r="F96" s="118">
        <v>1998.47</v>
      </c>
      <c r="G96" s="120">
        <v>2</v>
      </c>
      <c r="H96" s="119">
        <v>3996.94</v>
      </c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19">
        <v>2</v>
      </c>
      <c r="U96" s="119">
        <v>3996.94</v>
      </c>
    </row>
    <row r="97" spans="1:21" s="56" customFormat="1" ht="51" x14ac:dyDescent="0.2">
      <c r="A97" s="100">
        <v>23</v>
      </c>
      <c r="B97" s="101" t="s">
        <v>134</v>
      </c>
      <c r="C97" s="102" t="s">
        <v>129</v>
      </c>
      <c r="D97" s="103" t="s">
        <v>131</v>
      </c>
      <c r="E97" s="104" t="s">
        <v>55</v>
      </c>
      <c r="F97" s="105">
        <v>986.5</v>
      </c>
      <c r="G97" s="105">
        <v>1.95E-2</v>
      </c>
      <c r="H97" s="106">
        <v>19.239999999999998</v>
      </c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6">
        <v>1.95E-2</v>
      </c>
      <c r="U97" s="106">
        <v>19.239999999999998</v>
      </c>
    </row>
    <row r="98" spans="1:21" s="56" customFormat="1" ht="19.149999999999999" customHeight="1" x14ac:dyDescent="0.2">
      <c r="A98" s="98" t="s">
        <v>61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</row>
    <row r="99" spans="1:21" s="56" customFormat="1" ht="63.75" x14ac:dyDescent="0.2">
      <c r="A99" s="113">
        <v>24</v>
      </c>
      <c r="B99" s="114" t="s">
        <v>135</v>
      </c>
      <c r="C99" s="115" t="s">
        <v>63</v>
      </c>
      <c r="D99" s="116" t="s">
        <v>53</v>
      </c>
      <c r="E99" s="117" t="s">
        <v>55</v>
      </c>
      <c r="F99" s="118">
        <v>1740.55</v>
      </c>
      <c r="G99" s="118">
        <v>1.6</v>
      </c>
      <c r="H99" s="119">
        <v>2784.88</v>
      </c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19">
        <v>1.6</v>
      </c>
      <c r="U99" s="119">
        <v>2784.88</v>
      </c>
    </row>
    <row r="100" spans="1:21" s="56" customFormat="1" ht="51" x14ac:dyDescent="0.2">
      <c r="A100" s="113">
        <v>25</v>
      </c>
      <c r="B100" s="114" t="s">
        <v>136</v>
      </c>
      <c r="C100" s="115" t="s">
        <v>57</v>
      </c>
      <c r="D100" s="116" t="s">
        <v>58</v>
      </c>
      <c r="E100" s="117" t="s">
        <v>60</v>
      </c>
      <c r="F100" s="118">
        <v>1998.47</v>
      </c>
      <c r="G100" s="120">
        <v>4</v>
      </c>
      <c r="H100" s="119">
        <v>7993.88</v>
      </c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19">
        <v>4</v>
      </c>
      <c r="U100" s="119">
        <v>7993.88</v>
      </c>
    </row>
    <row r="101" spans="1:21" s="56" customFormat="1" ht="51" x14ac:dyDescent="0.2">
      <c r="A101" s="100">
        <v>26</v>
      </c>
      <c r="B101" s="101" t="s">
        <v>137</v>
      </c>
      <c r="C101" s="102" t="s">
        <v>129</v>
      </c>
      <c r="D101" s="103" t="s">
        <v>131</v>
      </c>
      <c r="E101" s="104" t="s">
        <v>55</v>
      </c>
      <c r="F101" s="105">
        <v>986.5</v>
      </c>
      <c r="G101" s="105">
        <v>1.95E-2</v>
      </c>
      <c r="H101" s="106">
        <v>19.239999999999998</v>
      </c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6">
        <v>1.95E-2</v>
      </c>
      <c r="U101" s="106">
        <v>19.239999999999998</v>
      </c>
    </row>
    <row r="102" spans="1:21" s="56" customFormat="1" ht="19.149999999999999" customHeight="1" x14ac:dyDescent="0.2">
      <c r="A102" s="98" t="s">
        <v>138</v>
      </c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</row>
    <row r="103" spans="1:21" s="56" customFormat="1" ht="63.75" x14ac:dyDescent="0.2">
      <c r="A103" s="113">
        <v>27</v>
      </c>
      <c r="B103" s="114" t="s">
        <v>139</v>
      </c>
      <c r="C103" s="115" t="s">
        <v>140</v>
      </c>
      <c r="D103" s="116" t="s">
        <v>53</v>
      </c>
      <c r="E103" s="117" t="s">
        <v>55</v>
      </c>
      <c r="F103" s="118">
        <v>1740.55</v>
      </c>
      <c r="G103" s="118">
        <v>0.5</v>
      </c>
      <c r="H103" s="119">
        <v>870.28</v>
      </c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19">
        <v>0.5</v>
      </c>
      <c r="U103" s="119">
        <v>870.28</v>
      </c>
    </row>
    <row r="104" spans="1:21" s="56" customFormat="1" ht="153" x14ac:dyDescent="0.2">
      <c r="A104" s="113">
        <v>28</v>
      </c>
      <c r="B104" s="114" t="s">
        <v>141</v>
      </c>
      <c r="C104" s="115" t="s">
        <v>142</v>
      </c>
      <c r="D104" s="116" t="s">
        <v>58</v>
      </c>
      <c r="E104" s="117" t="s">
        <v>60</v>
      </c>
      <c r="F104" s="118">
        <v>2797.86</v>
      </c>
      <c r="G104" s="120">
        <v>1</v>
      </c>
      <c r="H104" s="119">
        <v>2797.86</v>
      </c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19">
        <v>1</v>
      </c>
      <c r="U104" s="119">
        <v>2797.86</v>
      </c>
    </row>
    <row r="105" spans="1:21" s="56" customFormat="1" ht="51" x14ac:dyDescent="0.2">
      <c r="A105" s="100">
        <v>29</v>
      </c>
      <c r="B105" s="101" t="s">
        <v>143</v>
      </c>
      <c r="C105" s="102" t="s">
        <v>129</v>
      </c>
      <c r="D105" s="103" t="s">
        <v>131</v>
      </c>
      <c r="E105" s="104" t="s">
        <v>55</v>
      </c>
      <c r="F105" s="105">
        <v>986.5</v>
      </c>
      <c r="G105" s="105">
        <v>1.95E-2</v>
      </c>
      <c r="H105" s="106">
        <v>19.239999999999998</v>
      </c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6">
        <v>1.95E-2</v>
      </c>
      <c r="U105" s="106">
        <v>19.239999999999998</v>
      </c>
    </row>
    <row r="106" spans="1:21" s="56" customFormat="1" ht="19.149999999999999" customHeight="1" x14ac:dyDescent="0.2">
      <c r="A106" s="98" t="s">
        <v>144</v>
      </c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</row>
    <row r="107" spans="1:21" s="56" customFormat="1" ht="63.75" x14ac:dyDescent="0.2">
      <c r="A107" s="113">
        <v>30</v>
      </c>
      <c r="B107" s="114" t="s">
        <v>145</v>
      </c>
      <c r="C107" s="115" t="s">
        <v>146</v>
      </c>
      <c r="D107" s="116" t="s">
        <v>53</v>
      </c>
      <c r="E107" s="117" t="s">
        <v>55</v>
      </c>
      <c r="F107" s="118">
        <v>1740.55</v>
      </c>
      <c r="G107" s="118">
        <v>3</v>
      </c>
      <c r="H107" s="119">
        <v>5221.6499999999996</v>
      </c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19">
        <v>3</v>
      </c>
      <c r="U107" s="119">
        <v>5221.6499999999996</v>
      </c>
    </row>
    <row r="108" spans="1:21" s="56" customFormat="1" ht="153" x14ac:dyDescent="0.2">
      <c r="A108" s="113">
        <v>31</v>
      </c>
      <c r="B108" s="114" t="s">
        <v>147</v>
      </c>
      <c r="C108" s="115" t="s">
        <v>148</v>
      </c>
      <c r="D108" s="116" t="s">
        <v>58</v>
      </c>
      <c r="E108" s="117" t="s">
        <v>60</v>
      </c>
      <c r="F108" s="118">
        <v>2797.86</v>
      </c>
      <c r="G108" s="120">
        <v>6</v>
      </c>
      <c r="H108" s="119">
        <v>16787.16</v>
      </c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19">
        <v>6</v>
      </c>
      <c r="U108" s="119">
        <v>16787.16</v>
      </c>
    </row>
    <row r="109" spans="1:21" s="56" customFormat="1" ht="51" x14ac:dyDescent="0.2">
      <c r="A109" s="100">
        <v>32</v>
      </c>
      <c r="B109" s="101" t="s">
        <v>149</v>
      </c>
      <c r="C109" s="102" t="s">
        <v>129</v>
      </c>
      <c r="D109" s="103" t="s">
        <v>131</v>
      </c>
      <c r="E109" s="104" t="s">
        <v>55</v>
      </c>
      <c r="F109" s="105">
        <v>986.5</v>
      </c>
      <c r="G109" s="105">
        <v>1.95E-2</v>
      </c>
      <c r="H109" s="106">
        <v>19.239999999999998</v>
      </c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6">
        <v>1.95E-2</v>
      </c>
      <c r="U109" s="106">
        <v>19.239999999999998</v>
      </c>
    </row>
    <row r="110" spans="1:21" s="56" customFormat="1" ht="19.149999999999999" customHeight="1" x14ac:dyDescent="0.2">
      <c r="A110" s="98" t="s">
        <v>66</v>
      </c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</row>
    <row r="111" spans="1:21" s="56" customFormat="1" ht="51" x14ac:dyDescent="0.2">
      <c r="A111" s="113">
        <v>33</v>
      </c>
      <c r="B111" s="114" t="s">
        <v>150</v>
      </c>
      <c r="C111" s="115" t="s">
        <v>68</v>
      </c>
      <c r="D111" s="116" t="s">
        <v>53</v>
      </c>
      <c r="E111" s="117" t="s">
        <v>55</v>
      </c>
      <c r="F111" s="118">
        <v>1740.55</v>
      </c>
      <c r="G111" s="118">
        <v>2.1</v>
      </c>
      <c r="H111" s="119">
        <v>3655.16</v>
      </c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19">
        <v>2.1</v>
      </c>
      <c r="U111" s="119">
        <v>3655.16</v>
      </c>
    </row>
    <row r="112" spans="1:21" s="56" customFormat="1" ht="51" x14ac:dyDescent="0.2">
      <c r="A112" s="113">
        <v>34</v>
      </c>
      <c r="B112" s="114" t="s">
        <v>151</v>
      </c>
      <c r="C112" s="115" t="s">
        <v>129</v>
      </c>
      <c r="D112" s="116" t="s">
        <v>130</v>
      </c>
      <c r="E112" s="117" t="s">
        <v>55</v>
      </c>
      <c r="F112" s="118">
        <v>986.5</v>
      </c>
      <c r="G112" s="118">
        <v>1.95E-2</v>
      </c>
      <c r="H112" s="119">
        <v>19.239999999999998</v>
      </c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19">
        <v>1.95E-2</v>
      </c>
      <c r="U112" s="119">
        <v>19.239999999999998</v>
      </c>
    </row>
    <row r="113" spans="1:21" s="56" customFormat="1" ht="51" x14ac:dyDescent="0.2">
      <c r="A113" s="113">
        <v>35</v>
      </c>
      <c r="B113" s="114" t="s">
        <v>152</v>
      </c>
      <c r="C113" s="115" t="s">
        <v>71</v>
      </c>
      <c r="D113" s="116" t="s">
        <v>72</v>
      </c>
      <c r="E113" s="117" t="s">
        <v>74</v>
      </c>
      <c r="F113" s="118">
        <v>1586.8</v>
      </c>
      <c r="G113" s="120">
        <v>6</v>
      </c>
      <c r="H113" s="119">
        <v>9520.7999999999993</v>
      </c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19">
        <v>6</v>
      </c>
      <c r="U113" s="119">
        <v>9520.7999999999993</v>
      </c>
    </row>
    <row r="114" spans="1:21" s="56" customFormat="1" ht="51" x14ac:dyDescent="0.2">
      <c r="A114" s="100">
        <v>36</v>
      </c>
      <c r="B114" s="101" t="s">
        <v>153</v>
      </c>
      <c r="C114" s="102" t="s">
        <v>129</v>
      </c>
      <c r="D114" s="103" t="s">
        <v>131</v>
      </c>
      <c r="E114" s="104" t="s">
        <v>55</v>
      </c>
      <c r="F114" s="105">
        <v>986.5</v>
      </c>
      <c r="G114" s="105">
        <v>1.95E-2</v>
      </c>
      <c r="H114" s="106">
        <v>19.239999999999998</v>
      </c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6">
        <v>1.95E-2</v>
      </c>
      <c r="U114" s="106">
        <v>19.239999999999998</v>
      </c>
    </row>
    <row r="115" spans="1:21" s="56" customFormat="1" ht="19.149999999999999" customHeight="1" x14ac:dyDescent="0.2">
      <c r="A115" s="98" t="s">
        <v>154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</row>
    <row r="116" spans="1:21" s="56" customFormat="1" ht="51" x14ac:dyDescent="0.2">
      <c r="A116" s="113">
        <v>37</v>
      </c>
      <c r="B116" s="114" t="s">
        <v>155</v>
      </c>
      <c r="C116" s="115" t="s">
        <v>156</v>
      </c>
      <c r="D116" s="116" t="s">
        <v>53</v>
      </c>
      <c r="E116" s="117" t="s">
        <v>55</v>
      </c>
      <c r="F116" s="118">
        <v>1740.55</v>
      </c>
      <c r="G116" s="118">
        <v>4.8</v>
      </c>
      <c r="H116" s="119">
        <v>8354.64</v>
      </c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19">
        <v>4.8</v>
      </c>
      <c r="U116" s="119">
        <v>8354.64</v>
      </c>
    </row>
    <row r="117" spans="1:21" s="56" customFormat="1" ht="38.25" x14ac:dyDescent="0.2">
      <c r="A117" s="113">
        <v>38</v>
      </c>
      <c r="B117" s="114" t="s">
        <v>157</v>
      </c>
      <c r="C117" s="115" t="s">
        <v>158</v>
      </c>
      <c r="D117" s="116" t="s">
        <v>159</v>
      </c>
      <c r="E117" s="117" t="s">
        <v>88</v>
      </c>
      <c r="F117" s="118">
        <v>164.69</v>
      </c>
      <c r="G117" s="118">
        <v>72</v>
      </c>
      <c r="H117" s="119">
        <v>11857.68</v>
      </c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19">
        <v>72</v>
      </c>
      <c r="U117" s="119">
        <v>11857.68</v>
      </c>
    </row>
    <row r="118" spans="1:21" s="56" customFormat="1" ht="19.149999999999999" customHeight="1" x14ac:dyDescent="0.2">
      <c r="A118" s="98" t="s">
        <v>160</v>
      </c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</row>
    <row r="119" spans="1:21" s="56" customFormat="1" ht="51" x14ac:dyDescent="0.2">
      <c r="A119" s="113">
        <v>39</v>
      </c>
      <c r="B119" s="114" t="s">
        <v>161</v>
      </c>
      <c r="C119" s="115" t="s">
        <v>162</v>
      </c>
      <c r="D119" s="116" t="s">
        <v>53</v>
      </c>
      <c r="E119" s="117" t="s">
        <v>55</v>
      </c>
      <c r="F119" s="118">
        <v>1740.55</v>
      </c>
      <c r="G119" s="118">
        <v>4.5</v>
      </c>
      <c r="H119" s="119">
        <v>7832.48</v>
      </c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19">
        <v>4.5</v>
      </c>
      <c r="U119" s="119">
        <v>7832.48</v>
      </c>
    </row>
    <row r="120" spans="1:21" s="56" customFormat="1" ht="38.25" x14ac:dyDescent="0.2">
      <c r="A120" s="113">
        <v>40</v>
      </c>
      <c r="B120" s="114" t="s">
        <v>163</v>
      </c>
      <c r="C120" s="115" t="s">
        <v>164</v>
      </c>
      <c r="D120" s="116" t="s">
        <v>159</v>
      </c>
      <c r="E120" s="117" t="s">
        <v>88</v>
      </c>
      <c r="F120" s="118">
        <v>164.69</v>
      </c>
      <c r="G120" s="120">
        <v>30</v>
      </c>
      <c r="H120" s="119">
        <v>4940.7</v>
      </c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19">
        <v>30</v>
      </c>
      <c r="U120" s="119">
        <v>4940.7</v>
      </c>
    </row>
    <row r="121" spans="1:21" s="56" customFormat="1" ht="19.149999999999999" customHeight="1" x14ac:dyDescent="0.2">
      <c r="A121" s="98" t="s">
        <v>165</v>
      </c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</row>
    <row r="122" spans="1:21" s="56" customFormat="1" ht="51" x14ac:dyDescent="0.2">
      <c r="A122" s="100">
        <v>41</v>
      </c>
      <c r="B122" s="101" t="s">
        <v>166</v>
      </c>
      <c r="C122" s="102" t="s">
        <v>167</v>
      </c>
      <c r="D122" s="103" t="s">
        <v>54</v>
      </c>
      <c r="E122" s="104" t="s">
        <v>55</v>
      </c>
      <c r="F122" s="105">
        <v>1740.55</v>
      </c>
      <c r="G122" s="105">
        <v>0.75</v>
      </c>
      <c r="H122" s="106">
        <v>1305.4100000000001</v>
      </c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6">
        <v>0.75</v>
      </c>
      <c r="U122" s="106">
        <v>1305.4100000000001</v>
      </c>
    </row>
    <row r="123" spans="1:21" s="56" customFormat="1" ht="19.149999999999999" customHeight="1" x14ac:dyDescent="0.2">
      <c r="A123" s="98" t="s">
        <v>168</v>
      </c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</row>
    <row r="124" spans="1:21" s="56" customFormat="1" ht="38.25" x14ac:dyDescent="0.2">
      <c r="A124" s="100">
        <v>42</v>
      </c>
      <c r="B124" s="101" t="s">
        <v>169</v>
      </c>
      <c r="C124" s="102" t="s">
        <v>170</v>
      </c>
      <c r="D124" s="103" t="s">
        <v>171</v>
      </c>
      <c r="E124" s="104" t="s">
        <v>172</v>
      </c>
      <c r="F124" s="105">
        <v>2517.0700000000002</v>
      </c>
      <c r="G124" s="108">
        <v>8</v>
      </c>
      <c r="H124" s="106">
        <v>20136.560000000001</v>
      </c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6">
        <v>8</v>
      </c>
      <c r="U124" s="106">
        <v>20136.560000000001</v>
      </c>
    </row>
    <row r="125" spans="1:21" s="56" customFormat="1" ht="76.5" x14ac:dyDescent="0.2">
      <c r="A125" s="100">
        <v>43</v>
      </c>
      <c r="B125" s="101" t="s">
        <v>173</v>
      </c>
      <c r="C125" s="102" t="s">
        <v>174</v>
      </c>
      <c r="D125" s="103" t="s">
        <v>175</v>
      </c>
      <c r="E125" s="104" t="s">
        <v>176</v>
      </c>
      <c r="F125" s="105">
        <v>124.65</v>
      </c>
      <c r="G125" s="108">
        <v>91</v>
      </c>
      <c r="H125" s="106">
        <v>11343.15</v>
      </c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6">
        <v>91</v>
      </c>
      <c r="U125" s="106">
        <v>11343.15</v>
      </c>
    </row>
    <row r="126" spans="1:21" s="56" customFormat="1" x14ac:dyDescent="0.2">
      <c r="A126" s="109" t="s">
        <v>75</v>
      </c>
      <c r="B126" s="110"/>
      <c r="C126" s="110"/>
      <c r="D126" s="110"/>
      <c r="E126" s="104"/>
      <c r="F126" s="105"/>
      <c r="G126" s="105"/>
      <c r="H126" s="126">
        <f>45113.74*5.8108</f>
        <v>262146.920392</v>
      </c>
      <c r="I126" s="127"/>
      <c r="J126" s="126"/>
      <c r="K126" s="126"/>
      <c r="L126" s="127"/>
      <c r="M126" s="126"/>
      <c r="N126" s="126"/>
      <c r="O126" s="127"/>
      <c r="P126" s="126"/>
      <c r="Q126" s="126"/>
      <c r="R126" s="127"/>
      <c r="S126" s="126"/>
      <c r="T126" s="127"/>
      <c r="U126" s="126">
        <f>H126</f>
        <v>262146.920392</v>
      </c>
    </row>
    <row r="127" spans="1:21" s="56" customFormat="1" outlineLevel="1" x14ac:dyDescent="0.2">
      <c r="A127" s="111" t="s">
        <v>76</v>
      </c>
      <c r="B127" s="110"/>
      <c r="C127" s="110"/>
      <c r="D127" s="110"/>
      <c r="E127" s="104"/>
      <c r="F127" s="105"/>
      <c r="G127" s="105"/>
      <c r="H127" s="126">
        <f>760.62*5.8108</f>
        <v>4419.8106960000005</v>
      </c>
      <c r="I127" s="127"/>
      <c r="J127" s="126"/>
      <c r="K127" s="126"/>
      <c r="L127" s="127"/>
      <c r="M127" s="126"/>
      <c r="N127" s="126"/>
      <c r="O127" s="127"/>
      <c r="P127" s="126"/>
      <c r="Q127" s="126"/>
      <c r="R127" s="127"/>
      <c r="S127" s="126"/>
      <c r="T127" s="127"/>
      <c r="U127" s="126">
        <f>H127</f>
        <v>4419.8106960000005</v>
      </c>
    </row>
    <row r="128" spans="1:21" s="56" customFormat="1" outlineLevel="1" x14ac:dyDescent="0.2">
      <c r="A128" s="111" t="s">
        <v>77</v>
      </c>
      <c r="B128" s="110"/>
      <c r="C128" s="110"/>
      <c r="D128" s="110"/>
      <c r="E128" s="104"/>
      <c r="F128" s="105"/>
      <c r="G128" s="105"/>
      <c r="H128" s="126">
        <f>33734.22*5.8108</f>
        <v>196022.80557600001</v>
      </c>
      <c r="I128" s="127"/>
      <c r="J128" s="126"/>
      <c r="K128" s="126"/>
      <c r="L128" s="127"/>
      <c r="M128" s="126"/>
      <c r="N128" s="126"/>
      <c r="O128" s="127"/>
      <c r="P128" s="126"/>
      <c r="Q128" s="126"/>
      <c r="R128" s="127"/>
      <c r="S128" s="126"/>
      <c r="T128" s="127"/>
      <c r="U128" s="126">
        <f>H128</f>
        <v>196022.80557600001</v>
      </c>
    </row>
    <row r="129" spans="1:21" s="56" customFormat="1" outlineLevel="1" x14ac:dyDescent="0.2">
      <c r="A129" s="111" t="s">
        <v>78</v>
      </c>
      <c r="B129" s="110"/>
      <c r="C129" s="110"/>
      <c r="D129" s="110"/>
      <c r="E129" s="104"/>
      <c r="F129" s="105"/>
      <c r="G129" s="105"/>
      <c r="H129" s="126">
        <f>13993.92*5.8108</f>
        <v>81315.870336000007</v>
      </c>
      <c r="I129" s="127"/>
      <c r="J129" s="126"/>
      <c r="K129" s="126"/>
      <c r="L129" s="127"/>
      <c r="M129" s="126"/>
      <c r="N129" s="126"/>
      <c r="O129" s="127"/>
      <c r="P129" s="126"/>
      <c r="Q129" s="126"/>
      <c r="R129" s="127"/>
      <c r="S129" s="126"/>
      <c r="T129" s="127"/>
      <c r="U129" s="126">
        <f>H129</f>
        <v>81315.870336000007</v>
      </c>
    </row>
    <row r="130" spans="1:21" s="56" customFormat="1" x14ac:dyDescent="0.2">
      <c r="A130" s="109" t="s">
        <v>79</v>
      </c>
      <c r="B130" s="110"/>
      <c r="C130" s="110"/>
      <c r="D130" s="110"/>
      <c r="E130" s="104"/>
      <c r="F130" s="105"/>
      <c r="G130" s="105"/>
      <c r="H130" s="126">
        <f>13294.22*5.8108</f>
        <v>77250.053576000006</v>
      </c>
      <c r="I130" s="127"/>
      <c r="J130" s="126"/>
      <c r="K130" s="126"/>
      <c r="L130" s="127"/>
      <c r="M130" s="126"/>
      <c r="N130" s="126"/>
      <c r="O130" s="127"/>
      <c r="P130" s="126"/>
      <c r="Q130" s="126"/>
      <c r="R130" s="127"/>
      <c r="S130" s="126"/>
      <c r="T130" s="127"/>
      <c r="U130" s="126">
        <f>H130</f>
        <v>77250.053576000006</v>
      </c>
    </row>
    <row r="131" spans="1:21" s="56" customFormat="1" x14ac:dyDescent="0.2">
      <c r="A131" s="109" t="s">
        <v>80</v>
      </c>
      <c r="B131" s="110"/>
      <c r="C131" s="110"/>
      <c r="D131" s="110"/>
      <c r="E131" s="104"/>
      <c r="F131" s="105"/>
      <c r="G131" s="105"/>
      <c r="H131" s="126">
        <f>9096.05*5.8108</f>
        <v>52855.327339999996</v>
      </c>
      <c r="I131" s="127"/>
      <c r="J131" s="126"/>
      <c r="K131" s="126"/>
      <c r="L131" s="127"/>
      <c r="M131" s="126"/>
      <c r="N131" s="126"/>
      <c r="O131" s="127"/>
      <c r="P131" s="126"/>
      <c r="Q131" s="126"/>
      <c r="R131" s="127"/>
      <c r="S131" s="126"/>
      <c r="T131" s="127"/>
      <c r="U131" s="126">
        <f>H131</f>
        <v>52855.327339999996</v>
      </c>
    </row>
    <row r="132" spans="1:21" s="56" customFormat="1" x14ac:dyDescent="0.2">
      <c r="A132" s="109" t="s">
        <v>81</v>
      </c>
      <c r="B132" s="110"/>
      <c r="C132" s="110"/>
      <c r="D132" s="110"/>
      <c r="E132" s="104"/>
      <c r="F132" s="105"/>
      <c r="G132" s="105"/>
      <c r="H132" s="126">
        <f>67504.01*5.8108</f>
        <v>392252.30130799999</v>
      </c>
      <c r="I132" s="127"/>
      <c r="J132" s="126"/>
      <c r="K132" s="126"/>
      <c r="L132" s="127"/>
      <c r="M132" s="126"/>
      <c r="N132" s="126"/>
      <c r="O132" s="127"/>
      <c r="P132" s="126"/>
      <c r="Q132" s="126"/>
      <c r="R132" s="127"/>
      <c r="S132" s="126"/>
      <c r="T132" s="127"/>
      <c r="U132" s="126">
        <f>H132</f>
        <v>392252.30130799999</v>
      </c>
    </row>
    <row r="133" spans="1:21" s="56" customFormat="1" x14ac:dyDescent="0.2">
      <c r="A133" s="109" t="s">
        <v>82</v>
      </c>
      <c r="B133" s="110"/>
      <c r="C133" s="110"/>
      <c r="D133" s="110"/>
      <c r="E133" s="104"/>
      <c r="F133" s="105"/>
      <c r="G133" s="105"/>
      <c r="H133" s="128">
        <f>67504.01*5.8108</f>
        <v>392252.30130799999</v>
      </c>
      <c r="I133" s="127"/>
      <c r="J133" s="128"/>
      <c r="K133" s="128"/>
      <c r="L133" s="127"/>
      <c r="M133" s="128"/>
      <c r="N133" s="128"/>
      <c r="O133" s="127"/>
      <c r="P133" s="128"/>
      <c r="Q133" s="128"/>
      <c r="R133" s="127"/>
      <c r="S133" s="128"/>
      <c r="T133" s="127"/>
      <c r="U133" s="128">
        <f>H133</f>
        <v>392252.30130799999</v>
      </c>
    </row>
    <row r="134" spans="1:21" s="56" customFormat="1" ht="22.5" customHeight="1" x14ac:dyDescent="0.2">
      <c r="A134" s="96" t="s">
        <v>177</v>
      </c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</row>
    <row r="135" spans="1:21" s="56" customFormat="1" ht="19.149999999999999" customHeight="1" x14ac:dyDescent="0.2">
      <c r="A135" s="98" t="s">
        <v>178</v>
      </c>
      <c r="B135" s="99"/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</row>
    <row r="136" spans="1:21" s="56" customFormat="1" ht="38.25" x14ac:dyDescent="0.2">
      <c r="A136" s="100">
        <v>44</v>
      </c>
      <c r="B136" s="101" t="s">
        <v>179</v>
      </c>
      <c r="C136" s="102" t="s">
        <v>180</v>
      </c>
      <c r="D136" s="103" t="s">
        <v>181</v>
      </c>
      <c r="E136" s="104" t="s">
        <v>172</v>
      </c>
      <c r="F136" s="105">
        <v>1403.38</v>
      </c>
      <c r="G136" s="108">
        <v>24</v>
      </c>
      <c r="H136" s="106">
        <v>33681.120000000003</v>
      </c>
      <c r="I136" s="107"/>
      <c r="J136" s="107"/>
      <c r="K136" s="107"/>
      <c r="L136" s="107"/>
      <c r="M136" s="107"/>
      <c r="N136" s="107"/>
      <c r="O136" s="106">
        <v>24</v>
      </c>
      <c r="P136" s="106">
        <v>33681.120000000003</v>
      </c>
      <c r="Q136" s="106">
        <v>33681.120000000003</v>
      </c>
      <c r="R136" s="106">
        <v>24</v>
      </c>
      <c r="S136" s="106">
        <v>33681.120000000003</v>
      </c>
      <c r="T136" s="107"/>
      <c r="U136" s="107"/>
    </row>
    <row r="137" spans="1:21" s="56" customFormat="1" ht="19.149999999999999" customHeight="1" x14ac:dyDescent="0.2">
      <c r="A137" s="98" t="s">
        <v>182</v>
      </c>
      <c r="B137" s="99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</row>
    <row r="138" spans="1:21" s="56" customFormat="1" ht="38.25" x14ac:dyDescent="0.2">
      <c r="A138" s="100">
        <v>45</v>
      </c>
      <c r="B138" s="101" t="s">
        <v>183</v>
      </c>
      <c r="C138" s="102" t="s">
        <v>184</v>
      </c>
      <c r="D138" s="103" t="s">
        <v>185</v>
      </c>
      <c r="E138" s="104" t="s">
        <v>88</v>
      </c>
      <c r="F138" s="105">
        <v>239.26</v>
      </c>
      <c r="G138" s="108">
        <v>27</v>
      </c>
      <c r="H138" s="106">
        <v>6460.02</v>
      </c>
      <c r="I138" s="107"/>
      <c r="J138" s="107"/>
      <c r="K138" s="107"/>
      <c r="L138" s="107"/>
      <c r="M138" s="107"/>
      <c r="N138" s="107"/>
      <c r="O138" s="106">
        <v>27</v>
      </c>
      <c r="P138" s="106">
        <v>6460.02</v>
      </c>
      <c r="Q138" s="106">
        <v>6460.02</v>
      </c>
      <c r="R138" s="106">
        <v>27</v>
      </c>
      <c r="S138" s="106">
        <v>6460.02</v>
      </c>
      <c r="T138" s="107"/>
      <c r="U138" s="107"/>
    </row>
    <row r="139" spans="1:21" s="56" customFormat="1" ht="38.25" x14ac:dyDescent="0.2">
      <c r="A139" s="100">
        <v>46</v>
      </c>
      <c r="B139" s="101" t="s">
        <v>186</v>
      </c>
      <c r="C139" s="102" t="s">
        <v>187</v>
      </c>
      <c r="D139" s="103" t="s">
        <v>188</v>
      </c>
      <c r="E139" s="104" t="s">
        <v>88</v>
      </c>
      <c r="F139" s="105">
        <v>164.69</v>
      </c>
      <c r="G139" s="105">
        <v>81</v>
      </c>
      <c r="H139" s="106">
        <v>13339.89</v>
      </c>
      <c r="I139" s="107"/>
      <c r="J139" s="107"/>
      <c r="K139" s="107"/>
      <c r="L139" s="107"/>
      <c r="M139" s="107"/>
      <c r="N139" s="107"/>
      <c r="O139" s="106">
        <v>81</v>
      </c>
      <c r="P139" s="106">
        <v>13339.89</v>
      </c>
      <c r="Q139" s="106">
        <v>13339.89</v>
      </c>
      <c r="R139" s="106">
        <v>81</v>
      </c>
      <c r="S139" s="106">
        <v>13339.89</v>
      </c>
      <c r="T139" s="107"/>
      <c r="U139" s="107"/>
    </row>
    <row r="140" spans="1:21" s="56" customFormat="1" x14ac:dyDescent="0.2">
      <c r="A140" s="109" t="s">
        <v>75</v>
      </c>
      <c r="B140" s="110"/>
      <c r="C140" s="110"/>
      <c r="D140" s="110"/>
      <c r="E140" s="104"/>
      <c r="F140" s="105"/>
      <c r="G140" s="105"/>
      <c r="H140" s="126">
        <f>65647.09*5.8108</f>
        <v>381462.11057200003</v>
      </c>
      <c r="I140" s="127"/>
      <c r="J140" s="126"/>
      <c r="K140" s="126"/>
      <c r="L140" s="127"/>
      <c r="M140" s="126"/>
      <c r="N140" s="126"/>
      <c r="O140" s="127"/>
      <c r="P140" s="126">
        <f>H140</f>
        <v>381462.11057200003</v>
      </c>
      <c r="Q140" s="126">
        <f>P140</f>
        <v>381462.11057200003</v>
      </c>
      <c r="R140" s="127"/>
      <c r="S140" s="126">
        <f>Q140</f>
        <v>381462.11057200003</v>
      </c>
      <c r="T140" s="107"/>
      <c r="U140" s="106"/>
    </row>
    <row r="141" spans="1:21" s="56" customFormat="1" outlineLevel="1" x14ac:dyDescent="0.2">
      <c r="A141" s="111" t="s">
        <v>76</v>
      </c>
      <c r="B141" s="110"/>
      <c r="C141" s="110"/>
      <c r="D141" s="110"/>
      <c r="E141" s="104"/>
      <c r="F141" s="105"/>
      <c r="G141" s="105"/>
      <c r="H141" s="126">
        <f>21465.06*5.8108</f>
        <v>124729.17064800001</v>
      </c>
      <c r="I141" s="127"/>
      <c r="J141" s="126"/>
      <c r="K141" s="126"/>
      <c r="L141" s="127"/>
      <c r="M141" s="126"/>
      <c r="N141" s="126"/>
      <c r="O141" s="127"/>
      <c r="P141" s="126">
        <f>H141</f>
        <v>124729.17064800001</v>
      </c>
      <c r="Q141" s="126">
        <f>P141</f>
        <v>124729.17064800001</v>
      </c>
      <c r="R141" s="127"/>
      <c r="S141" s="126">
        <f>Q141</f>
        <v>124729.17064800001</v>
      </c>
      <c r="T141" s="107"/>
      <c r="U141" s="106"/>
    </row>
    <row r="142" spans="1:21" s="56" customFormat="1" outlineLevel="1" x14ac:dyDescent="0.2">
      <c r="A142" s="111" t="s">
        <v>77</v>
      </c>
      <c r="B142" s="110"/>
      <c r="C142" s="110"/>
      <c r="D142" s="110"/>
      <c r="E142" s="104"/>
      <c r="F142" s="105"/>
      <c r="G142" s="105"/>
      <c r="H142" s="126">
        <f>22325.28*5.8108</f>
        <v>129727.737024</v>
      </c>
      <c r="I142" s="127"/>
      <c r="J142" s="126"/>
      <c r="K142" s="126"/>
      <c r="L142" s="127"/>
      <c r="M142" s="126"/>
      <c r="N142" s="126"/>
      <c r="O142" s="127"/>
      <c r="P142" s="126">
        <f>H142</f>
        <v>129727.737024</v>
      </c>
      <c r="Q142" s="126">
        <f>P142</f>
        <v>129727.737024</v>
      </c>
      <c r="R142" s="127"/>
      <c r="S142" s="126">
        <f>Q142</f>
        <v>129727.737024</v>
      </c>
      <c r="T142" s="107"/>
      <c r="U142" s="106"/>
    </row>
    <row r="143" spans="1:21" s="56" customFormat="1" outlineLevel="1" x14ac:dyDescent="0.2">
      <c r="A143" s="111" t="s">
        <v>78</v>
      </c>
      <c r="B143" s="110"/>
      <c r="C143" s="110"/>
      <c r="D143" s="110"/>
      <c r="E143" s="104"/>
      <c r="F143" s="105"/>
      <c r="G143" s="105"/>
      <c r="H143" s="126">
        <f>23447.42*5.8108</f>
        <v>136248.268136</v>
      </c>
      <c r="I143" s="127"/>
      <c r="J143" s="126"/>
      <c r="K143" s="126"/>
      <c r="L143" s="127"/>
      <c r="M143" s="126"/>
      <c r="N143" s="126"/>
      <c r="O143" s="127"/>
      <c r="P143" s="126">
        <f>H143</f>
        <v>136248.268136</v>
      </c>
      <c r="Q143" s="126">
        <f>P143</f>
        <v>136248.268136</v>
      </c>
      <c r="R143" s="127"/>
      <c r="S143" s="126">
        <f>Q143</f>
        <v>136248.268136</v>
      </c>
      <c r="T143" s="107"/>
      <c r="U143" s="106"/>
    </row>
    <row r="144" spans="1:21" s="56" customFormat="1" x14ac:dyDescent="0.2">
      <c r="A144" s="109" t="s">
        <v>79</v>
      </c>
      <c r="B144" s="110"/>
      <c r="C144" s="110"/>
      <c r="D144" s="110"/>
      <c r="E144" s="104"/>
      <c r="F144" s="105"/>
      <c r="G144" s="105"/>
      <c r="H144" s="126">
        <f>22275.05*5.8108</f>
        <v>129435.86054000001</v>
      </c>
      <c r="I144" s="127"/>
      <c r="J144" s="126"/>
      <c r="K144" s="126"/>
      <c r="L144" s="127"/>
      <c r="M144" s="126"/>
      <c r="N144" s="126"/>
      <c r="O144" s="127"/>
      <c r="P144" s="126">
        <f>H144</f>
        <v>129435.86054000001</v>
      </c>
      <c r="Q144" s="126">
        <f>P144</f>
        <v>129435.86054000001</v>
      </c>
      <c r="R144" s="127"/>
      <c r="S144" s="126">
        <f>Q144</f>
        <v>129435.86054000001</v>
      </c>
      <c r="T144" s="107"/>
      <c r="U144" s="106"/>
    </row>
    <row r="145" spans="1:21" s="56" customFormat="1" x14ac:dyDescent="0.2">
      <c r="A145" s="109" t="s">
        <v>80</v>
      </c>
      <c r="B145" s="110"/>
      <c r="C145" s="110"/>
      <c r="D145" s="110"/>
      <c r="E145" s="104"/>
      <c r="F145" s="105"/>
      <c r="G145" s="105"/>
      <c r="H145" s="126">
        <f>15240.82*5.8108</f>
        <v>88561.356855999999</v>
      </c>
      <c r="I145" s="127"/>
      <c r="J145" s="126"/>
      <c r="K145" s="126"/>
      <c r="L145" s="127"/>
      <c r="M145" s="126"/>
      <c r="N145" s="126"/>
      <c r="O145" s="127"/>
      <c r="P145" s="126">
        <f>H145</f>
        <v>88561.356855999999</v>
      </c>
      <c r="Q145" s="126">
        <f>P145</f>
        <v>88561.356855999999</v>
      </c>
      <c r="R145" s="127"/>
      <c r="S145" s="126">
        <f>Q145</f>
        <v>88561.356855999999</v>
      </c>
      <c r="T145" s="107"/>
      <c r="U145" s="106"/>
    </row>
    <row r="146" spans="1:21" s="56" customFormat="1" x14ac:dyDescent="0.2">
      <c r="A146" s="109" t="s">
        <v>81</v>
      </c>
      <c r="B146" s="110"/>
      <c r="C146" s="110"/>
      <c r="D146" s="110"/>
      <c r="E146" s="104"/>
      <c r="F146" s="105"/>
      <c r="G146" s="105"/>
      <c r="H146" s="126">
        <f>103162.96*5.8108</f>
        <v>599459.32796800009</v>
      </c>
      <c r="I146" s="127"/>
      <c r="J146" s="126"/>
      <c r="K146" s="126"/>
      <c r="L146" s="127"/>
      <c r="M146" s="126"/>
      <c r="N146" s="126"/>
      <c r="O146" s="127"/>
      <c r="P146" s="126">
        <f>H146</f>
        <v>599459.32796800009</v>
      </c>
      <c r="Q146" s="126">
        <f>P146</f>
        <v>599459.32796800009</v>
      </c>
      <c r="R146" s="127"/>
      <c r="S146" s="126">
        <f>Q146</f>
        <v>599459.32796800009</v>
      </c>
      <c r="T146" s="107"/>
      <c r="U146" s="106"/>
    </row>
    <row r="147" spans="1:21" s="56" customFormat="1" x14ac:dyDescent="0.2">
      <c r="A147" s="109" t="s">
        <v>82</v>
      </c>
      <c r="B147" s="110"/>
      <c r="C147" s="110"/>
      <c r="D147" s="110"/>
      <c r="E147" s="104"/>
      <c r="F147" s="105"/>
      <c r="G147" s="105"/>
      <c r="H147" s="128">
        <f>103162.96*5.8108</f>
        <v>599459.32796800009</v>
      </c>
      <c r="I147" s="127"/>
      <c r="J147" s="128"/>
      <c r="K147" s="128"/>
      <c r="L147" s="127"/>
      <c r="M147" s="128"/>
      <c r="N147" s="128"/>
      <c r="O147" s="127"/>
      <c r="P147" s="128">
        <f>H147</f>
        <v>599459.32796800009</v>
      </c>
      <c r="Q147" s="128">
        <f>P147</f>
        <v>599459.32796800009</v>
      </c>
      <c r="R147" s="127"/>
      <c r="S147" s="128">
        <f>Q147</f>
        <v>599459.32796800009</v>
      </c>
      <c r="T147" s="107"/>
      <c r="U147" s="112"/>
    </row>
    <row r="148" spans="1:21" s="56" customFormat="1" ht="22.5" customHeight="1" x14ac:dyDescent="0.2">
      <c r="A148" s="96" t="s">
        <v>189</v>
      </c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</row>
    <row r="149" spans="1:21" s="56" customFormat="1" ht="19.149999999999999" customHeight="1" x14ac:dyDescent="0.2">
      <c r="A149" s="98" t="s">
        <v>190</v>
      </c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</row>
    <row r="150" spans="1:21" s="56" customFormat="1" ht="89.25" x14ac:dyDescent="0.2">
      <c r="A150" s="100">
        <v>47</v>
      </c>
      <c r="B150" s="101" t="s">
        <v>191</v>
      </c>
      <c r="C150" s="102" t="s">
        <v>192</v>
      </c>
      <c r="D150" s="103" t="s">
        <v>193</v>
      </c>
      <c r="E150" s="104" t="s">
        <v>88</v>
      </c>
      <c r="F150" s="105">
        <v>265.17</v>
      </c>
      <c r="G150" s="108">
        <v>48</v>
      </c>
      <c r="H150" s="106">
        <v>12728.16</v>
      </c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6">
        <v>48</v>
      </c>
      <c r="U150" s="106">
        <v>12728.16</v>
      </c>
    </row>
    <row r="151" spans="1:21" s="56" customFormat="1" ht="19.149999999999999" customHeight="1" x14ac:dyDescent="0.2">
      <c r="A151" s="98" t="s">
        <v>194</v>
      </c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</row>
    <row r="152" spans="1:21" s="56" customFormat="1" ht="38.25" x14ac:dyDescent="0.2">
      <c r="A152" s="100">
        <v>48</v>
      </c>
      <c r="B152" s="101" t="s">
        <v>195</v>
      </c>
      <c r="C152" s="102" t="s">
        <v>196</v>
      </c>
      <c r="D152" s="103" t="s">
        <v>193</v>
      </c>
      <c r="E152" s="104" t="s">
        <v>88</v>
      </c>
      <c r="F152" s="105">
        <v>265.17</v>
      </c>
      <c r="G152" s="108">
        <v>8</v>
      </c>
      <c r="H152" s="106">
        <v>2121.36</v>
      </c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6">
        <v>8</v>
      </c>
      <c r="U152" s="106">
        <v>2121.36</v>
      </c>
    </row>
    <row r="153" spans="1:21" s="56" customFormat="1" x14ac:dyDescent="0.2">
      <c r="A153" s="109" t="s">
        <v>75</v>
      </c>
      <c r="B153" s="110"/>
      <c r="C153" s="110"/>
      <c r="D153" s="110"/>
      <c r="E153" s="104"/>
      <c r="F153" s="105"/>
      <c r="G153" s="105"/>
      <c r="H153" s="126">
        <f>20472.97*5.8108</f>
        <v>118964.33407600001</v>
      </c>
      <c r="I153" s="127"/>
      <c r="J153" s="126"/>
      <c r="K153" s="126"/>
      <c r="L153" s="127"/>
      <c r="M153" s="126"/>
      <c r="N153" s="126"/>
      <c r="O153" s="127"/>
      <c r="P153" s="126"/>
      <c r="Q153" s="126"/>
      <c r="R153" s="127"/>
      <c r="S153" s="126"/>
      <c r="T153" s="127"/>
      <c r="U153" s="126">
        <f>H153</f>
        <v>118964.33407600001</v>
      </c>
    </row>
    <row r="154" spans="1:21" s="56" customFormat="1" outlineLevel="1" x14ac:dyDescent="0.2">
      <c r="A154" s="111" t="s">
        <v>76</v>
      </c>
      <c r="B154" s="110"/>
      <c r="C154" s="110"/>
      <c r="D154" s="110"/>
      <c r="E154" s="104"/>
      <c r="F154" s="105"/>
      <c r="G154" s="105"/>
      <c r="H154" s="126">
        <f>50.96*5.8108</f>
        <v>296.11836800000003</v>
      </c>
      <c r="I154" s="127"/>
      <c r="J154" s="126"/>
      <c r="K154" s="126"/>
      <c r="L154" s="127"/>
      <c r="M154" s="126"/>
      <c r="N154" s="126"/>
      <c r="O154" s="127"/>
      <c r="P154" s="126"/>
      <c r="Q154" s="126"/>
      <c r="R154" s="127"/>
      <c r="S154" s="126"/>
      <c r="T154" s="127"/>
      <c r="U154" s="126">
        <f>H154</f>
        <v>296.11836800000003</v>
      </c>
    </row>
    <row r="155" spans="1:21" s="56" customFormat="1" outlineLevel="1" x14ac:dyDescent="0.2">
      <c r="A155" s="111" t="s">
        <v>77</v>
      </c>
      <c r="B155" s="110"/>
      <c r="C155" s="110"/>
      <c r="D155" s="110"/>
      <c r="E155" s="104"/>
      <c r="F155" s="105"/>
      <c r="G155" s="105"/>
      <c r="H155" s="126">
        <f>16925.09*5.8108</f>
        <v>98348.312972000014</v>
      </c>
      <c r="I155" s="127"/>
      <c r="J155" s="126"/>
      <c r="K155" s="126"/>
      <c r="L155" s="127"/>
      <c r="M155" s="126"/>
      <c r="N155" s="126"/>
      <c r="O155" s="127"/>
      <c r="P155" s="126"/>
      <c r="Q155" s="126"/>
      <c r="R155" s="127"/>
      <c r="S155" s="126"/>
      <c r="T155" s="127"/>
      <c r="U155" s="126">
        <f>H155</f>
        <v>98348.312972000014</v>
      </c>
    </row>
    <row r="156" spans="1:21" s="56" customFormat="1" outlineLevel="1" x14ac:dyDescent="0.2">
      <c r="A156" s="111" t="s">
        <v>78</v>
      </c>
      <c r="B156" s="110"/>
      <c r="C156" s="110"/>
      <c r="D156" s="110"/>
      <c r="E156" s="104"/>
      <c r="F156" s="105"/>
      <c r="G156" s="105"/>
      <c r="H156" s="126">
        <f>4503.11*5.8108</f>
        <v>26166.671588000001</v>
      </c>
      <c r="I156" s="127"/>
      <c r="J156" s="126"/>
      <c r="K156" s="126"/>
      <c r="L156" s="127"/>
      <c r="M156" s="126"/>
      <c r="N156" s="126"/>
      <c r="O156" s="127"/>
      <c r="P156" s="126"/>
      <c r="Q156" s="126"/>
      <c r="R156" s="127"/>
      <c r="S156" s="126"/>
      <c r="T156" s="127"/>
      <c r="U156" s="126">
        <f>H156</f>
        <v>26166.671588000001</v>
      </c>
    </row>
    <row r="157" spans="1:21" s="56" customFormat="1" x14ac:dyDescent="0.2">
      <c r="A157" s="109" t="s">
        <v>79</v>
      </c>
      <c r="B157" s="110"/>
      <c r="C157" s="110"/>
      <c r="D157" s="110"/>
      <c r="E157" s="104"/>
      <c r="F157" s="105"/>
      <c r="G157" s="105"/>
      <c r="H157" s="126">
        <f>4277.95*5.8108</f>
        <v>24858.311860000002</v>
      </c>
      <c r="I157" s="127"/>
      <c r="J157" s="126"/>
      <c r="K157" s="126"/>
      <c r="L157" s="127"/>
      <c r="M157" s="126"/>
      <c r="N157" s="126"/>
      <c r="O157" s="127"/>
      <c r="P157" s="126"/>
      <c r="Q157" s="126"/>
      <c r="R157" s="127"/>
      <c r="S157" s="126"/>
      <c r="T157" s="127"/>
      <c r="U157" s="126">
        <f>H157</f>
        <v>24858.311860000002</v>
      </c>
    </row>
    <row r="158" spans="1:21" s="56" customFormat="1" x14ac:dyDescent="0.2">
      <c r="A158" s="109" t="s">
        <v>80</v>
      </c>
      <c r="B158" s="110"/>
      <c r="C158" s="110"/>
      <c r="D158" s="110"/>
      <c r="E158" s="104"/>
      <c r="F158" s="105"/>
      <c r="G158" s="105"/>
      <c r="H158" s="126">
        <f>2927.02*5.8108</f>
        <v>17008.327816000001</v>
      </c>
      <c r="I158" s="127"/>
      <c r="J158" s="126"/>
      <c r="K158" s="126"/>
      <c r="L158" s="127"/>
      <c r="M158" s="126"/>
      <c r="N158" s="126"/>
      <c r="O158" s="127"/>
      <c r="P158" s="126"/>
      <c r="Q158" s="126"/>
      <c r="R158" s="127"/>
      <c r="S158" s="126"/>
      <c r="T158" s="127"/>
      <c r="U158" s="126">
        <f>H158</f>
        <v>17008.327816000001</v>
      </c>
    </row>
    <row r="159" spans="1:21" s="56" customFormat="1" x14ac:dyDescent="0.2">
      <c r="A159" s="109" t="s">
        <v>81</v>
      </c>
      <c r="B159" s="110"/>
      <c r="C159" s="110"/>
      <c r="D159" s="110"/>
      <c r="E159" s="104"/>
      <c r="F159" s="105"/>
      <c r="G159" s="105"/>
      <c r="H159" s="126">
        <f>27677.94*5.8108</f>
        <v>160830.97375199999</v>
      </c>
      <c r="I159" s="127"/>
      <c r="J159" s="126"/>
      <c r="K159" s="126"/>
      <c r="L159" s="127"/>
      <c r="M159" s="126"/>
      <c r="N159" s="126"/>
      <c r="O159" s="127"/>
      <c r="P159" s="126"/>
      <c r="Q159" s="126"/>
      <c r="R159" s="127"/>
      <c r="S159" s="126"/>
      <c r="T159" s="127"/>
      <c r="U159" s="126">
        <f>H159</f>
        <v>160830.97375199999</v>
      </c>
    </row>
    <row r="160" spans="1:21" s="56" customFormat="1" x14ac:dyDescent="0.2">
      <c r="A160" s="109" t="s">
        <v>82</v>
      </c>
      <c r="B160" s="110"/>
      <c r="C160" s="110"/>
      <c r="D160" s="110"/>
      <c r="E160" s="104"/>
      <c r="F160" s="105"/>
      <c r="G160" s="105"/>
      <c r="H160" s="128">
        <f>27677.94*5.8108</f>
        <v>160830.97375199999</v>
      </c>
      <c r="I160" s="127"/>
      <c r="J160" s="128"/>
      <c r="K160" s="128"/>
      <c r="L160" s="127"/>
      <c r="M160" s="128"/>
      <c r="N160" s="128"/>
      <c r="O160" s="127"/>
      <c r="P160" s="128"/>
      <c r="Q160" s="128"/>
      <c r="R160" s="127"/>
      <c r="S160" s="128"/>
      <c r="T160" s="127"/>
      <c r="U160" s="128">
        <f>H160</f>
        <v>160830.97375199999</v>
      </c>
    </row>
    <row r="161" spans="1:21" s="56" customFormat="1" ht="22.5" customHeight="1" x14ac:dyDescent="0.2">
      <c r="A161" s="96" t="s">
        <v>197</v>
      </c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</row>
    <row r="162" spans="1:21" s="56" customFormat="1" ht="19.149999999999999" customHeight="1" x14ac:dyDescent="0.2">
      <c r="A162" s="98" t="s">
        <v>198</v>
      </c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</row>
    <row r="163" spans="1:21" s="56" customFormat="1" ht="51" x14ac:dyDescent="0.2">
      <c r="A163" s="113">
        <v>49</v>
      </c>
      <c r="B163" s="114" t="s">
        <v>199</v>
      </c>
      <c r="C163" s="115" t="s">
        <v>200</v>
      </c>
      <c r="D163" s="116" t="s">
        <v>201</v>
      </c>
      <c r="E163" s="117" t="s">
        <v>88</v>
      </c>
      <c r="F163" s="118">
        <v>18345.32</v>
      </c>
      <c r="G163" s="120">
        <v>1</v>
      </c>
      <c r="H163" s="119">
        <v>18345.32</v>
      </c>
      <c r="I163" s="119">
        <v>1</v>
      </c>
      <c r="J163" s="119">
        <v>18345.32</v>
      </c>
      <c r="K163" s="119">
        <v>18345.32</v>
      </c>
      <c r="L163" s="107"/>
      <c r="M163" s="107"/>
      <c r="N163" s="107"/>
      <c r="O163" s="107"/>
      <c r="P163" s="107"/>
      <c r="Q163" s="107"/>
      <c r="R163" s="119">
        <v>1</v>
      </c>
      <c r="S163" s="119">
        <v>18345.32</v>
      </c>
      <c r="T163" s="107"/>
      <c r="U163" s="107"/>
    </row>
    <row r="164" spans="1:21" s="56" customFormat="1" ht="51" x14ac:dyDescent="0.2">
      <c r="A164" s="100">
        <v>50</v>
      </c>
      <c r="B164" s="101" t="s">
        <v>202</v>
      </c>
      <c r="C164" s="102" t="s">
        <v>203</v>
      </c>
      <c r="D164" s="103" t="s">
        <v>205</v>
      </c>
      <c r="E164" s="104" t="s">
        <v>88</v>
      </c>
      <c r="F164" s="105">
        <v>3456.05</v>
      </c>
      <c r="G164" s="108">
        <v>8</v>
      </c>
      <c r="H164" s="106">
        <v>27648.400000000001</v>
      </c>
      <c r="I164" s="106">
        <v>8</v>
      </c>
      <c r="J164" s="106">
        <v>27648.400000000001</v>
      </c>
      <c r="K164" s="106">
        <v>27648.400000000001</v>
      </c>
      <c r="L164" s="107"/>
      <c r="M164" s="107"/>
      <c r="N164" s="107"/>
      <c r="O164" s="107"/>
      <c r="P164" s="107"/>
      <c r="Q164" s="107"/>
      <c r="R164" s="106">
        <v>8</v>
      </c>
      <c r="S164" s="106">
        <v>27648.400000000001</v>
      </c>
      <c r="T164" s="107"/>
      <c r="U164" s="107"/>
    </row>
    <row r="165" spans="1:21" s="56" customFormat="1" x14ac:dyDescent="0.2">
      <c r="A165" s="109" t="s">
        <v>75</v>
      </c>
      <c r="B165" s="110"/>
      <c r="C165" s="110"/>
      <c r="D165" s="110"/>
      <c r="E165" s="104"/>
      <c r="F165" s="105"/>
      <c r="G165" s="105"/>
      <c r="H165" s="126">
        <f>34110.35*5.8108</f>
        <v>198208.42178</v>
      </c>
      <c r="I165" s="127"/>
      <c r="J165" s="126">
        <f>H165</f>
        <v>198208.42178</v>
      </c>
      <c r="K165" s="126">
        <f>J165</f>
        <v>198208.42178</v>
      </c>
      <c r="L165" s="127"/>
      <c r="M165" s="126"/>
      <c r="N165" s="126">
        <f>K165</f>
        <v>198208.42178</v>
      </c>
      <c r="O165" s="127"/>
      <c r="P165" s="126"/>
      <c r="Q165" s="126">
        <f>N165</f>
        <v>198208.42178</v>
      </c>
      <c r="R165" s="127"/>
      <c r="S165" s="126">
        <f>Q165</f>
        <v>198208.42178</v>
      </c>
      <c r="T165" s="107"/>
      <c r="U165" s="106"/>
    </row>
    <row r="166" spans="1:21" s="56" customFormat="1" outlineLevel="1" x14ac:dyDescent="0.2">
      <c r="A166" s="111" t="s">
        <v>76</v>
      </c>
      <c r="B166" s="110"/>
      <c r="C166" s="110"/>
      <c r="D166" s="110"/>
      <c r="E166" s="104"/>
      <c r="F166" s="105"/>
      <c r="G166" s="105"/>
      <c r="H166" s="126">
        <f>10643.28*5.8108</f>
        <v>61845.97142400001</v>
      </c>
      <c r="I166" s="127"/>
      <c r="J166" s="126">
        <f>H166</f>
        <v>61845.97142400001</v>
      </c>
      <c r="K166" s="126">
        <f>J166</f>
        <v>61845.97142400001</v>
      </c>
      <c r="L166" s="127"/>
      <c r="M166" s="126"/>
      <c r="N166" s="126">
        <f>K166</f>
        <v>61845.97142400001</v>
      </c>
      <c r="O166" s="127"/>
      <c r="P166" s="126"/>
      <c r="Q166" s="126">
        <f>N166</f>
        <v>61845.97142400001</v>
      </c>
      <c r="R166" s="127"/>
      <c r="S166" s="126">
        <f t="shared" ref="S166:S172" si="0">Q166</f>
        <v>61845.97142400001</v>
      </c>
      <c r="T166" s="107"/>
      <c r="U166" s="106"/>
    </row>
    <row r="167" spans="1:21" s="56" customFormat="1" outlineLevel="1" x14ac:dyDescent="0.2">
      <c r="A167" s="111" t="s">
        <v>77</v>
      </c>
      <c r="B167" s="110"/>
      <c r="C167" s="110"/>
      <c r="D167" s="110"/>
      <c r="E167" s="104"/>
      <c r="F167" s="105"/>
      <c r="G167" s="105"/>
      <c r="H167" s="126">
        <f>11257.49*5.8108</f>
        <v>65415.022892000001</v>
      </c>
      <c r="I167" s="127"/>
      <c r="J167" s="126">
        <f>H167</f>
        <v>65415.022892000001</v>
      </c>
      <c r="K167" s="126">
        <f>J167</f>
        <v>65415.022892000001</v>
      </c>
      <c r="L167" s="127"/>
      <c r="M167" s="126"/>
      <c r="N167" s="126">
        <f>K167</f>
        <v>65415.022892000001</v>
      </c>
      <c r="O167" s="127"/>
      <c r="P167" s="126"/>
      <c r="Q167" s="126">
        <f>N167</f>
        <v>65415.022892000001</v>
      </c>
      <c r="R167" s="127"/>
      <c r="S167" s="126">
        <f t="shared" si="0"/>
        <v>65415.022892000001</v>
      </c>
      <c r="T167" s="107"/>
      <c r="U167" s="106"/>
    </row>
    <row r="168" spans="1:21" s="56" customFormat="1" outlineLevel="1" x14ac:dyDescent="0.2">
      <c r="A168" s="111" t="s">
        <v>78</v>
      </c>
      <c r="B168" s="110"/>
      <c r="C168" s="110"/>
      <c r="D168" s="110"/>
      <c r="E168" s="104"/>
      <c r="F168" s="105"/>
      <c r="G168" s="105"/>
      <c r="H168" s="126">
        <f>13019.92*5.8108</f>
        <v>75656.151136</v>
      </c>
      <c r="I168" s="127"/>
      <c r="J168" s="126">
        <f>H168</f>
        <v>75656.151136</v>
      </c>
      <c r="K168" s="126">
        <f>J168</f>
        <v>75656.151136</v>
      </c>
      <c r="L168" s="127"/>
      <c r="M168" s="126"/>
      <c r="N168" s="126">
        <f>K168</f>
        <v>75656.151136</v>
      </c>
      <c r="O168" s="127"/>
      <c r="P168" s="126"/>
      <c r="Q168" s="126">
        <f>N168</f>
        <v>75656.151136</v>
      </c>
      <c r="R168" s="127"/>
      <c r="S168" s="126">
        <f t="shared" si="0"/>
        <v>75656.151136</v>
      </c>
      <c r="T168" s="107"/>
      <c r="U168" s="106"/>
    </row>
    <row r="169" spans="1:21" s="56" customFormat="1" x14ac:dyDescent="0.2">
      <c r="A169" s="109" t="s">
        <v>79</v>
      </c>
      <c r="B169" s="110"/>
      <c r="C169" s="110"/>
      <c r="D169" s="110"/>
      <c r="E169" s="104"/>
      <c r="F169" s="105"/>
      <c r="G169" s="105"/>
      <c r="H169" s="126">
        <f>10415.94*5.8108</f>
        <v>60524.944152000004</v>
      </c>
      <c r="I169" s="127"/>
      <c r="J169" s="126">
        <f>H169</f>
        <v>60524.944152000004</v>
      </c>
      <c r="K169" s="126">
        <f>J169</f>
        <v>60524.944152000004</v>
      </c>
      <c r="L169" s="127"/>
      <c r="M169" s="126"/>
      <c r="N169" s="126">
        <f>K169</f>
        <v>60524.944152000004</v>
      </c>
      <c r="O169" s="127"/>
      <c r="P169" s="126"/>
      <c r="Q169" s="126">
        <f>N169</f>
        <v>60524.944152000004</v>
      </c>
      <c r="R169" s="127"/>
      <c r="S169" s="126">
        <f t="shared" si="0"/>
        <v>60524.944152000004</v>
      </c>
      <c r="T169" s="107"/>
      <c r="U169" s="106"/>
    </row>
    <row r="170" spans="1:21" s="56" customFormat="1" x14ac:dyDescent="0.2">
      <c r="A170" s="109" t="s">
        <v>80</v>
      </c>
      <c r="B170" s="110"/>
      <c r="C170" s="110"/>
      <c r="D170" s="110"/>
      <c r="E170" s="104"/>
      <c r="F170" s="105"/>
      <c r="G170" s="105"/>
      <c r="H170" s="126">
        <f>7811.95*5.8108</f>
        <v>45393.679060000002</v>
      </c>
      <c r="I170" s="127"/>
      <c r="J170" s="126">
        <f>H170</f>
        <v>45393.679060000002</v>
      </c>
      <c r="K170" s="126">
        <f>J170</f>
        <v>45393.679060000002</v>
      </c>
      <c r="L170" s="127"/>
      <c r="M170" s="126"/>
      <c r="N170" s="126">
        <f>K170</f>
        <v>45393.679060000002</v>
      </c>
      <c r="O170" s="127"/>
      <c r="P170" s="126"/>
      <c r="Q170" s="126">
        <f>N170</f>
        <v>45393.679060000002</v>
      </c>
      <c r="R170" s="127"/>
      <c r="S170" s="126">
        <f t="shared" si="0"/>
        <v>45393.679060000002</v>
      </c>
      <c r="T170" s="107"/>
      <c r="U170" s="106"/>
    </row>
    <row r="171" spans="1:21" s="56" customFormat="1" x14ac:dyDescent="0.2">
      <c r="A171" s="109" t="s">
        <v>81</v>
      </c>
      <c r="B171" s="110"/>
      <c r="C171" s="110"/>
      <c r="D171" s="110"/>
      <c r="E171" s="104"/>
      <c r="F171" s="105"/>
      <c r="G171" s="105"/>
      <c r="H171" s="126">
        <f>52338.24*5.8108</f>
        <v>304127.04499199998</v>
      </c>
      <c r="I171" s="127"/>
      <c r="J171" s="126">
        <f>H171</f>
        <v>304127.04499199998</v>
      </c>
      <c r="K171" s="126">
        <f>J171</f>
        <v>304127.04499199998</v>
      </c>
      <c r="L171" s="127"/>
      <c r="M171" s="126"/>
      <c r="N171" s="126">
        <f>K171</f>
        <v>304127.04499199998</v>
      </c>
      <c r="O171" s="127"/>
      <c r="P171" s="126"/>
      <c r="Q171" s="126">
        <f>N171</f>
        <v>304127.04499199998</v>
      </c>
      <c r="R171" s="127"/>
      <c r="S171" s="126">
        <f t="shared" si="0"/>
        <v>304127.04499199998</v>
      </c>
      <c r="T171" s="107"/>
      <c r="U171" s="106"/>
    </row>
    <row r="172" spans="1:21" s="56" customFormat="1" x14ac:dyDescent="0.2">
      <c r="A172" s="109" t="s">
        <v>82</v>
      </c>
      <c r="B172" s="110"/>
      <c r="C172" s="110"/>
      <c r="D172" s="110"/>
      <c r="E172" s="104"/>
      <c r="F172" s="105"/>
      <c r="G172" s="105"/>
      <c r="H172" s="128">
        <f>52338.24*5.8108</f>
        <v>304127.04499199998</v>
      </c>
      <c r="I172" s="127"/>
      <c r="J172" s="128">
        <f>H172</f>
        <v>304127.04499199998</v>
      </c>
      <c r="K172" s="128">
        <f>J172</f>
        <v>304127.04499199998</v>
      </c>
      <c r="L172" s="127"/>
      <c r="M172" s="128"/>
      <c r="N172" s="128">
        <f>K172</f>
        <v>304127.04499199998</v>
      </c>
      <c r="O172" s="127"/>
      <c r="P172" s="128"/>
      <c r="Q172" s="128">
        <f>N172</f>
        <v>304127.04499199998</v>
      </c>
      <c r="R172" s="127"/>
      <c r="S172" s="128">
        <f t="shared" si="0"/>
        <v>304127.04499199998</v>
      </c>
      <c r="T172" s="107"/>
      <c r="U172" s="112"/>
    </row>
    <row r="173" spans="1:21" s="56" customFormat="1" ht="22.5" customHeight="1" x14ac:dyDescent="0.2">
      <c r="A173" s="96" t="s">
        <v>206</v>
      </c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</row>
    <row r="174" spans="1:21" s="56" customFormat="1" ht="19.149999999999999" customHeight="1" x14ac:dyDescent="0.2">
      <c r="A174" s="98" t="s">
        <v>198</v>
      </c>
      <c r="B174" s="99"/>
      <c r="C174" s="99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</row>
    <row r="175" spans="1:21" s="56" customFormat="1" ht="89.25" x14ac:dyDescent="0.2">
      <c r="A175" s="100">
        <v>51</v>
      </c>
      <c r="B175" s="101" t="s">
        <v>207</v>
      </c>
      <c r="C175" s="102" t="s">
        <v>208</v>
      </c>
      <c r="D175" s="103" t="s">
        <v>209</v>
      </c>
      <c r="E175" s="104" t="s">
        <v>210</v>
      </c>
      <c r="F175" s="105">
        <v>439.11</v>
      </c>
      <c r="G175" s="108">
        <v>5</v>
      </c>
      <c r="H175" s="106">
        <v>2195.5500000000002</v>
      </c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6">
        <v>5</v>
      </c>
      <c r="U175" s="106">
        <v>2195.5500000000002</v>
      </c>
    </row>
    <row r="176" spans="1:21" s="56" customFormat="1" ht="63.75" x14ac:dyDescent="0.2">
      <c r="A176" s="100">
        <v>52</v>
      </c>
      <c r="B176" s="101" t="s">
        <v>211</v>
      </c>
      <c r="C176" s="102" t="s">
        <v>212</v>
      </c>
      <c r="D176" s="103" t="s">
        <v>213</v>
      </c>
      <c r="E176" s="104" t="s">
        <v>214</v>
      </c>
      <c r="F176" s="105">
        <v>433.73</v>
      </c>
      <c r="G176" s="108">
        <v>5.0999999999999996</v>
      </c>
      <c r="H176" s="106">
        <v>2212.02</v>
      </c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6">
        <v>5.0999999999999996</v>
      </c>
      <c r="U176" s="106">
        <v>2212.02</v>
      </c>
    </row>
    <row r="177" spans="1:21" s="56" customFormat="1" ht="38.25" x14ac:dyDescent="0.2">
      <c r="A177" s="100">
        <v>53</v>
      </c>
      <c r="B177" s="101" t="s">
        <v>215</v>
      </c>
      <c r="C177" s="102" t="s">
        <v>216</v>
      </c>
      <c r="D177" s="103" t="s">
        <v>217</v>
      </c>
      <c r="E177" s="104" t="s">
        <v>218</v>
      </c>
      <c r="F177" s="105">
        <v>942.26</v>
      </c>
      <c r="G177" s="108">
        <v>1</v>
      </c>
      <c r="H177" s="106">
        <v>942.26</v>
      </c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6">
        <v>1</v>
      </c>
      <c r="U177" s="106">
        <v>942.26</v>
      </c>
    </row>
    <row r="178" spans="1:21" s="56" customFormat="1" ht="89.25" x14ac:dyDescent="0.2">
      <c r="A178" s="100">
        <v>54</v>
      </c>
      <c r="B178" s="101" t="s">
        <v>219</v>
      </c>
      <c r="C178" s="102" t="s">
        <v>220</v>
      </c>
      <c r="D178" s="103" t="s">
        <v>221</v>
      </c>
      <c r="E178" s="104" t="s">
        <v>88</v>
      </c>
      <c r="F178" s="105">
        <v>409.62</v>
      </c>
      <c r="G178" s="108">
        <v>1</v>
      </c>
      <c r="H178" s="106">
        <v>409.62</v>
      </c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6">
        <v>1</v>
      </c>
      <c r="U178" s="106">
        <v>409.62</v>
      </c>
    </row>
    <row r="179" spans="1:21" s="56" customFormat="1" ht="89.25" x14ac:dyDescent="0.2">
      <c r="A179" s="100">
        <v>55</v>
      </c>
      <c r="B179" s="101" t="s">
        <v>222</v>
      </c>
      <c r="C179" s="102" t="s">
        <v>223</v>
      </c>
      <c r="D179" s="103" t="s">
        <v>221</v>
      </c>
      <c r="E179" s="104" t="s">
        <v>88</v>
      </c>
      <c r="F179" s="105">
        <v>409.62</v>
      </c>
      <c r="G179" s="108">
        <v>1</v>
      </c>
      <c r="H179" s="106">
        <v>409.62</v>
      </c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6">
        <v>1</v>
      </c>
      <c r="U179" s="106">
        <v>409.62</v>
      </c>
    </row>
    <row r="180" spans="1:21" s="56" customFormat="1" x14ac:dyDescent="0.2">
      <c r="A180" s="109" t="s">
        <v>75</v>
      </c>
      <c r="B180" s="110"/>
      <c r="C180" s="110"/>
      <c r="D180" s="110"/>
      <c r="E180" s="104"/>
      <c r="F180" s="105"/>
      <c r="G180" s="105"/>
      <c r="H180" s="126">
        <f>7264.21*5.8108</f>
        <v>42210.871468000005</v>
      </c>
      <c r="I180" s="127"/>
      <c r="J180" s="126"/>
      <c r="K180" s="126"/>
      <c r="L180" s="127"/>
      <c r="M180" s="126"/>
      <c r="N180" s="126"/>
      <c r="O180" s="127"/>
      <c r="P180" s="126"/>
      <c r="Q180" s="126"/>
      <c r="R180" s="127"/>
      <c r="S180" s="126"/>
      <c r="T180" s="127"/>
      <c r="U180" s="126">
        <f>H180</f>
        <v>42210.871468000005</v>
      </c>
    </row>
    <row r="181" spans="1:21" s="56" customFormat="1" outlineLevel="1" x14ac:dyDescent="0.2">
      <c r="A181" s="111" t="s">
        <v>76</v>
      </c>
      <c r="B181" s="110"/>
      <c r="C181" s="110"/>
      <c r="D181" s="110"/>
      <c r="E181" s="104"/>
      <c r="F181" s="105"/>
      <c r="G181" s="105"/>
      <c r="H181" s="126">
        <f>3287.13*5.8108</f>
        <v>19100.855004000001</v>
      </c>
      <c r="I181" s="127"/>
      <c r="J181" s="126"/>
      <c r="K181" s="126"/>
      <c r="L181" s="127"/>
      <c r="M181" s="126"/>
      <c r="N181" s="126"/>
      <c r="O181" s="127"/>
      <c r="P181" s="126"/>
      <c r="Q181" s="126"/>
      <c r="R181" s="127"/>
      <c r="S181" s="126"/>
      <c r="T181" s="127"/>
      <c r="U181" s="126">
        <f t="shared" ref="U181:U187" si="1">H181</f>
        <v>19100.855004000001</v>
      </c>
    </row>
    <row r="182" spans="1:21" s="56" customFormat="1" outlineLevel="1" x14ac:dyDescent="0.2">
      <c r="A182" s="111" t="s">
        <v>77</v>
      </c>
      <c r="B182" s="110"/>
      <c r="C182" s="110"/>
      <c r="D182" s="110"/>
      <c r="E182" s="104"/>
      <c r="F182" s="105"/>
      <c r="G182" s="105"/>
      <c r="H182" s="126">
        <f>1531.94*5.8108</f>
        <v>8901.7969520000006</v>
      </c>
      <c r="I182" s="127"/>
      <c r="J182" s="126"/>
      <c r="K182" s="126"/>
      <c r="L182" s="127"/>
      <c r="M182" s="126"/>
      <c r="N182" s="126"/>
      <c r="O182" s="127"/>
      <c r="P182" s="126"/>
      <c r="Q182" s="126"/>
      <c r="R182" s="127"/>
      <c r="S182" s="126"/>
      <c r="T182" s="127"/>
      <c r="U182" s="126">
        <f t="shared" si="1"/>
        <v>8901.7969520000006</v>
      </c>
    </row>
    <row r="183" spans="1:21" s="56" customFormat="1" outlineLevel="1" x14ac:dyDescent="0.2">
      <c r="A183" s="111" t="s">
        <v>78</v>
      </c>
      <c r="B183" s="110"/>
      <c r="C183" s="110"/>
      <c r="D183" s="110"/>
      <c r="E183" s="104"/>
      <c r="F183" s="105"/>
      <c r="G183" s="105"/>
      <c r="H183" s="126">
        <f>2528.47*5.8108</f>
        <v>14692.433476</v>
      </c>
      <c r="I183" s="127"/>
      <c r="J183" s="126"/>
      <c r="K183" s="126"/>
      <c r="L183" s="127"/>
      <c r="M183" s="126"/>
      <c r="N183" s="126"/>
      <c r="O183" s="127"/>
      <c r="P183" s="126"/>
      <c r="Q183" s="126"/>
      <c r="R183" s="127"/>
      <c r="S183" s="126"/>
      <c r="T183" s="127"/>
      <c r="U183" s="126">
        <f t="shared" si="1"/>
        <v>14692.433476</v>
      </c>
    </row>
    <row r="184" spans="1:21" s="56" customFormat="1" x14ac:dyDescent="0.2">
      <c r="A184" s="109" t="s">
        <v>79</v>
      </c>
      <c r="B184" s="110"/>
      <c r="C184" s="110"/>
      <c r="D184" s="110"/>
      <c r="E184" s="104"/>
      <c r="F184" s="105"/>
      <c r="G184" s="105"/>
      <c r="H184" s="126">
        <f>2402.05*5.8108</f>
        <v>13957.832140000002</v>
      </c>
      <c r="I184" s="127"/>
      <c r="J184" s="126"/>
      <c r="K184" s="126"/>
      <c r="L184" s="127"/>
      <c r="M184" s="126"/>
      <c r="N184" s="126"/>
      <c r="O184" s="127"/>
      <c r="P184" s="126"/>
      <c r="Q184" s="126"/>
      <c r="R184" s="127"/>
      <c r="S184" s="126"/>
      <c r="T184" s="127"/>
      <c r="U184" s="126">
        <f t="shared" si="1"/>
        <v>13957.832140000002</v>
      </c>
    </row>
    <row r="185" spans="1:21" s="56" customFormat="1" x14ac:dyDescent="0.2">
      <c r="A185" s="109" t="s">
        <v>80</v>
      </c>
      <c r="B185" s="110"/>
      <c r="C185" s="110"/>
      <c r="D185" s="110"/>
      <c r="E185" s="104"/>
      <c r="F185" s="105"/>
      <c r="G185" s="105"/>
      <c r="H185" s="126">
        <f>1643.51*5.8108</f>
        <v>9550.107908</v>
      </c>
      <c r="I185" s="127"/>
      <c r="J185" s="126"/>
      <c r="K185" s="126"/>
      <c r="L185" s="127"/>
      <c r="M185" s="126"/>
      <c r="N185" s="126"/>
      <c r="O185" s="127"/>
      <c r="P185" s="126"/>
      <c r="Q185" s="126"/>
      <c r="R185" s="127"/>
      <c r="S185" s="126"/>
      <c r="T185" s="127"/>
      <c r="U185" s="126">
        <f t="shared" si="1"/>
        <v>9550.107908</v>
      </c>
    </row>
    <row r="186" spans="1:21" s="56" customFormat="1" x14ac:dyDescent="0.2">
      <c r="A186" s="109" t="s">
        <v>81</v>
      </c>
      <c r="B186" s="110"/>
      <c r="C186" s="110"/>
      <c r="D186" s="110"/>
      <c r="E186" s="104"/>
      <c r="F186" s="105"/>
      <c r="G186" s="105"/>
      <c r="H186" s="126">
        <f>11309.77*5.8108</f>
        <v>65718.811516000002</v>
      </c>
      <c r="I186" s="127"/>
      <c r="J186" s="126"/>
      <c r="K186" s="126"/>
      <c r="L186" s="127"/>
      <c r="M186" s="126"/>
      <c r="N186" s="126"/>
      <c r="O186" s="127"/>
      <c r="P186" s="126"/>
      <c r="Q186" s="126"/>
      <c r="R186" s="127"/>
      <c r="S186" s="126"/>
      <c r="T186" s="127"/>
      <c r="U186" s="126">
        <f t="shared" si="1"/>
        <v>65718.811516000002</v>
      </c>
    </row>
    <row r="187" spans="1:21" s="56" customFormat="1" x14ac:dyDescent="0.2">
      <c r="A187" s="109" t="s">
        <v>82</v>
      </c>
      <c r="B187" s="110"/>
      <c r="C187" s="110"/>
      <c r="D187" s="110"/>
      <c r="E187" s="104"/>
      <c r="F187" s="105"/>
      <c r="G187" s="105"/>
      <c r="H187" s="128">
        <f>11309.77*5.8108</f>
        <v>65718.811516000002</v>
      </c>
      <c r="I187" s="127"/>
      <c r="J187" s="128"/>
      <c r="K187" s="128"/>
      <c r="L187" s="127"/>
      <c r="M187" s="128"/>
      <c r="N187" s="128"/>
      <c r="O187" s="127"/>
      <c r="P187" s="128"/>
      <c r="Q187" s="128"/>
      <c r="R187" s="127"/>
      <c r="S187" s="128"/>
      <c r="T187" s="127"/>
      <c r="U187" s="128">
        <f t="shared" si="1"/>
        <v>65718.811516000002</v>
      </c>
    </row>
    <row r="188" spans="1:21" s="56" customFormat="1" ht="22.5" customHeight="1" x14ac:dyDescent="0.2">
      <c r="A188" s="96" t="s">
        <v>224</v>
      </c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</row>
    <row r="189" spans="1:21" s="56" customFormat="1" ht="19.149999999999999" customHeight="1" x14ac:dyDescent="0.2">
      <c r="A189" s="98" t="s">
        <v>225</v>
      </c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</row>
    <row r="190" spans="1:21" s="56" customFormat="1" ht="63.75" x14ac:dyDescent="0.2">
      <c r="A190" s="100">
        <v>56</v>
      </c>
      <c r="B190" s="101" t="s">
        <v>226</v>
      </c>
      <c r="C190" s="102" t="s">
        <v>227</v>
      </c>
      <c r="D190" s="103" t="s">
        <v>228</v>
      </c>
      <c r="E190" s="104" t="s">
        <v>88</v>
      </c>
      <c r="F190" s="105">
        <v>112.93</v>
      </c>
      <c r="G190" s="108">
        <v>8</v>
      </c>
      <c r="H190" s="106">
        <v>903.44</v>
      </c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6">
        <v>8</v>
      </c>
      <c r="U190" s="106">
        <v>903.44</v>
      </c>
    </row>
    <row r="191" spans="1:21" s="56" customFormat="1" ht="63.75" x14ac:dyDescent="0.2">
      <c r="A191" s="100">
        <v>57</v>
      </c>
      <c r="B191" s="101" t="s">
        <v>229</v>
      </c>
      <c r="C191" s="102" t="s">
        <v>230</v>
      </c>
      <c r="D191" s="103" t="s">
        <v>228</v>
      </c>
      <c r="E191" s="104" t="s">
        <v>88</v>
      </c>
      <c r="F191" s="105">
        <v>112.93</v>
      </c>
      <c r="G191" s="108">
        <v>8</v>
      </c>
      <c r="H191" s="106">
        <v>903.44</v>
      </c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6">
        <v>8</v>
      </c>
      <c r="U191" s="106">
        <v>903.44</v>
      </c>
    </row>
    <row r="192" spans="1:21" s="56" customFormat="1" ht="63.75" x14ac:dyDescent="0.2">
      <c r="A192" s="100">
        <v>58</v>
      </c>
      <c r="B192" s="101" t="s">
        <v>231</v>
      </c>
      <c r="C192" s="102" t="s">
        <v>232</v>
      </c>
      <c r="D192" s="103" t="s">
        <v>228</v>
      </c>
      <c r="E192" s="104" t="s">
        <v>88</v>
      </c>
      <c r="F192" s="105">
        <v>112.93</v>
      </c>
      <c r="G192" s="108">
        <v>2</v>
      </c>
      <c r="H192" s="106">
        <v>225.86</v>
      </c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6">
        <v>2</v>
      </c>
      <c r="U192" s="106">
        <v>225.86</v>
      </c>
    </row>
    <row r="193" spans="1:21" s="56" customFormat="1" ht="63.75" x14ac:dyDescent="0.2">
      <c r="A193" s="100">
        <v>59</v>
      </c>
      <c r="B193" s="101" t="s">
        <v>233</v>
      </c>
      <c r="C193" s="102" t="s">
        <v>234</v>
      </c>
      <c r="D193" s="103" t="s">
        <v>228</v>
      </c>
      <c r="E193" s="104" t="s">
        <v>88</v>
      </c>
      <c r="F193" s="105">
        <v>112.93</v>
      </c>
      <c r="G193" s="108">
        <v>1</v>
      </c>
      <c r="H193" s="106">
        <v>112.93</v>
      </c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6">
        <v>1</v>
      </c>
      <c r="U193" s="106">
        <v>112.93</v>
      </c>
    </row>
    <row r="194" spans="1:21" s="56" customFormat="1" ht="63.75" x14ac:dyDescent="0.2">
      <c r="A194" s="100">
        <v>60</v>
      </c>
      <c r="B194" s="101" t="s">
        <v>235</v>
      </c>
      <c r="C194" s="102" t="s">
        <v>236</v>
      </c>
      <c r="D194" s="103" t="s">
        <v>237</v>
      </c>
      <c r="E194" s="104" t="s">
        <v>88</v>
      </c>
      <c r="F194" s="105">
        <v>96.69</v>
      </c>
      <c r="G194" s="108">
        <v>4</v>
      </c>
      <c r="H194" s="106">
        <v>386.76</v>
      </c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6">
        <v>4</v>
      </c>
      <c r="U194" s="106">
        <v>386.76</v>
      </c>
    </row>
    <row r="195" spans="1:21" s="56" customFormat="1" x14ac:dyDescent="0.2">
      <c r="A195" s="109" t="s">
        <v>75</v>
      </c>
      <c r="B195" s="110"/>
      <c r="C195" s="110"/>
      <c r="D195" s="110"/>
      <c r="E195" s="104"/>
      <c r="F195" s="105"/>
      <c r="G195" s="105"/>
      <c r="H195" s="126">
        <f>3450.8*5.8108</f>
        <v>20051.908640000001</v>
      </c>
      <c r="I195" s="127"/>
      <c r="J195" s="126"/>
      <c r="K195" s="126"/>
      <c r="L195" s="127"/>
      <c r="M195" s="126"/>
      <c r="N195" s="126"/>
      <c r="O195" s="127"/>
      <c r="P195" s="126"/>
      <c r="Q195" s="126"/>
      <c r="R195" s="127"/>
      <c r="S195" s="126"/>
      <c r="T195" s="127"/>
      <c r="U195" s="126">
        <f>H195</f>
        <v>20051.908640000001</v>
      </c>
    </row>
    <row r="196" spans="1:21" s="56" customFormat="1" outlineLevel="1" x14ac:dyDescent="0.2">
      <c r="A196" s="111" t="s">
        <v>76</v>
      </c>
      <c r="B196" s="110"/>
      <c r="C196" s="110"/>
      <c r="D196" s="110"/>
      <c r="E196" s="104"/>
      <c r="F196" s="105"/>
      <c r="G196" s="105"/>
      <c r="H196" s="126">
        <f>115.67*5.8108</f>
        <v>672.13523600000008</v>
      </c>
      <c r="I196" s="127"/>
      <c r="J196" s="126"/>
      <c r="K196" s="126"/>
      <c r="L196" s="127"/>
      <c r="M196" s="126"/>
      <c r="N196" s="126"/>
      <c r="O196" s="127"/>
      <c r="P196" s="126"/>
      <c r="Q196" s="126"/>
      <c r="R196" s="127"/>
      <c r="S196" s="126"/>
      <c r="T196" s="127"/>
      <c r="U196" s="126">
        <f t="shared" ref="U196:U202" si="2">H196</f>
        <v>672.13523600000008</v>
      </c>
    </row>
    <row r="197" spans="1:21" s="56" customFormat="1" outlineLevel="1" x14ac:dyDescent="0.2">
      <c r="A197" s="111" t="s">
        <v>77</v>
      </c>
      <c r="B197" s="110"/>
      <c r="C197" s="110"/>
      <c r="D197" s="110"/>
      <c r="E197" s="104"/>
      <c r="F197" s="105"/>
      <c r="G197" s="105"/>
      <c r="H197" s="126">
        <f>2609.87*5.8108</f>
        <v>15165.432596000001</v>
      </c>
      <c r="I197" s="127"/>
      <c r="J197" s="126"/>
      <c r="K197" s="126"/>
      <c r="L197" s="127"/>
      <c r="M197" s="126"/>
      <c r="N197" s="126"/>
      <c r="O197" s="127"/>
      <c r="P197" s="126"/>
      <c r="Q197" s="126"/>
      <c r="R197" s="127"/>
      <c r="S197" s="126"/>
      <c r="T197" s="127"/>
      <c r="U197" s="126">
        <f t="shared" si="2"/>
        <v>15165.432596000001</v>
      </c>
    </row>
    <row r="198" spans="1:21" s="56" customFormat="1" outlineLevel="1" x14ac:dyDescent="0.2">
      <c r="A198" s="111" t="s">
        <v>78</v>
      </c>
      <c r="B198" s="110"/>
      <c r="C198" s="110"/>
      <c r="D198" s="110"/>
      <c r="E198" s="104"/>
      <c r="F198" s="105"/>
      <c r="G198" s="105"/>
      <c r="H198" s="126">
        <f>887.52*5.8108</f>
        <v>5157.2012160000004</v>
      </c>
      <c r="I198" s="127"/>
      <c r="J198" s="126"/>
      <c r="K198" s="126"/>
      <c r="L198" s="127"/>
      <c r="M198" s="126"/>
      <c r="N198" s="126"/>
      <c r="O198" s="127"/>
      <c r="P198" s="126"/>
      <c r="Q198" s="126"/>
      <c r="R198" s="127"/>
      <c r="S198" s="126"/>
      <c r="T198" s="127"/>
      <c r="U198" s="126">
        <f t="shared" si="2"/>
        <v>5157.2012160000004</v>
      </c>
    </row>
    <row r="199" spans="1:21" s="56" customFormat="1" x14ac:dyDescent="0.2">
      <c r="A199" s="109" t="s">
        <v>79</v>
      </c>
      <c r="B199" s="110"/>
      <c r="C199" s="110"/>
      <c r="D199" s="110"/>
      <c r="E199" s="104"/>
      <c r="F199" s="105"/>
      <c r="G199" s="105"/>
      <c r="H199" s="126">
        <f>843.14*5.8108</f>
        <v>4899.3179120000004</v>
      </c>
      <c r="I199" s="127"/>
      <c r="J199" s="126"/>
      <c r="K199" s="126"/>
      <c r="L199" s="127"/>
      <c r="M199" s="126"/>
      <c r="N199" s="126"/>
      <c r="O199" s="127"/>
      <c r="P199" s="126"/>
      <c r="Q199" s="126"/>
      <c r="R199" s="127"/>
      <c r="S199" s="126"/>
      <c r="T199" s="127"/>
      <c r="U199" s="126">
        <f t="shared" si="2"/>
        <v>4899.3179120000004</v>
      </c>
    </row>
    <row r="200" spans="1:21" s="56" customFormat="1" x14ac:dyDescent="0.2">
      <c r="A200" s="109" t="s">
        <v>80</v>
      </c>
      <c r="B200" s="110"/>
      <c r="C200" s="110"/>
      <c r="D200" s="110"/>
      <c r="E200" s="104"/>
      <c r="F200" s="105"/>
      <c r="G200" s="105"/>
      <c r="H200" s="126">
        <f>576.89*5.8108</f>
        <v>3352.1924120000003</v>
      </c>
      <c r="I200" s="127"/>
      <c r="J200" s="126"/>
      <c r="K200" s="126"/>
      <c r="L200" s="127"/>
      <c r="M200" s="126"/>
      <c r="N200" s="126"/>
      <c r="O200" s="127"/>
      <c r="P200" s="126"/>
      <c r="Q200" s="126"/>
      <c r="R200" s="127"/>
      <c r="S200" s="126"/>
      <c r="T200" s="127"/>
      <c r="U200" s="126">
        <f t="shared" si="2"/>
        <v>3352.1924120000003</v>
      </c>
    </row>
    <row r="201" spans="1:21" s="56" customFormat="1" x14ac:dyDescent="0.2">
      <c r="A201" s="109" t="s">
        <v>81</v>
      </c>
      <c r="B201" s="110"/>
      <c r="C201" s="110"/>
      <c r="D201" s="110"/>
      <c r="E201" s="104"/>
      <c r="F201" s="105"/>
      <c r="G201" s="105"/>
      <c r="H201" s="126">
        <f>4870.83*5.8108</f>
        <v>28303.418964</v>
      </c>
      <c r="I201" s="127"/>
      <c r="J201" s="126"/>
      <c r="K201" s="126"/>
      <c r="L201" s="127"/>
      <c r="M201" s="126"/>
      <c r="N201" s="126"/>
      <c r="O201" s="127"/>
      <c r="P201" s="126"/>
      <c r="Q201" s="126"/>
      <c r="R201" s="127"/>
      <c r="S201" s="126"/>
      <c r="T201" s="127"/>
      <c r="U201" s="126">
        <f t="shared" si="2"/>
        <v>28303.418964</v>
      </c>
    </row>
    <row r="202" spans="1:21" s="56" customFormat="1" x14ac:dyDescent="0.2">
      <c r="A202" s="109" t="s">
        <v>82</v>
      </c>
      <c r="B202" s="110"/>
      <c r="C202" s="110"/>
      <c r="D202" s="110"/>
      <c r="E202" s="104"/>
      <c r="F202" s="105"/>
      <c r="G202" s="105"/>
      <c r="H202" s="128">
        <f>4870.83*5.8108</f>
        <v>28303.418964</v>
      </c>
      <c r="I202" s="127"/>
      <c r="J202" s="128"/>
      <c r="K202" s="128"/>
      <c r="L202" s="127"/>
      <c r="M202" s="128"/>
      <c r="N202" s="128"/>
      <c r="O202" s="127"/>
      <c r="P202" s="128"/>
      <c r="Q202" s="128"/>
      <c r="R202" s="127"/>
      <c r="S202" s="128"/>
      <c r="T202" s="127"/>
      <c r="U202" s="128">
        <f t="shared" si="2"/>
        <v>28303.418964</v>
      </c>
    </row>
    <row r="203" spans="1:21" s="56" customFormat="1" ht="22.5" customHeight="1" x14ac:dyDescent="0.2">
      <c r="A203" s="96" t="s">
        <v>238</v>
      </c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</row>
    <row r="204" spans="1:21" s="56" customFormat="1" ht="19.149999999999999" customHeight="1" x14ac:dyDescent="0.2">
      <c r="A204" s="98" t="s">
        <v>239</v>
      </c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</row>
    <row r="205" spans="1:21" s="56" customFormat="1" ht="76.5" x14ac:dyDescent="0.2">
      <c r="A205" s="100">
        <v>61</v>
      </c>
      <c r="B205" s="101" t="s">
        <v>240</v>
      </c>
      <c r="C205" s="102" t="s">
        <v>241</v>
      </c>
      <c r="D205" s="103" t="s">
        <v>54</v>
      </c>
      <c r="E205" s="104" t="s">
        <v>55</v>
      </c>
      <c r="F205" s="105">
        <v>1740.55</v>
      </c>
      <c r="G205" s="105">
        <v>0.7</v>
      </c>
      <c r="H205" s="106">
        <v>1218.3900000000001</v>
      </c>
      <c r="I205" s="107"/>
      <c r="J205" s="107"/>
      <c r="K205" s="107"/>
      <c r="L205" s="107"/>
      <c r="M205" s="107"/>
      <c r="N205" s="107"/>
      <c r="O205" s="106">
        <v>0.7</v>
      </c>
      <c r="P205" s="106">
        <v>1218.3900000000001</v>
      </c>
      <c r="Q205" s="106">
        <v>1218.3900000000001</v>
      </c>
      <c r="R205" s="106">
        <v>0.7</v>
      </c>
      <c r="S205" s="106">
        <v>1218.3900000000001</v>
      </c>
      <c r="T205" s="107"/>
      <c r="U205" s="107"/>
    </row>
    <row r="206" spans="1:21" s="56" customFormat="1" ht="51" x14ac:dyDescent="0.2">
      <c r="A206" s="100">
        <v>62</v>
      </c>
      <c r="B206" s="101" t="s">
        <v>242</v>
      </c>
      <c r="C206" s="102" t="s">
        <v>243</v>
      </c>
      <c r="D206" s="103" t="s">
        <v>244</v>
      </c>
      <c r="E206" s="104" t="s">
        <v>74</v>
      </c>
      <c r="F206" s="105">
        <v>1597.44</v>
      </c>
      <c r="G206" s="108">
        <v>2</v>
      </c>
      <c r="H206" s="106">
        <v>3194.88</v>
      </c>
      <c r="I206" s="107"/>
      <c r="J206" s="107"/>
      <c r="K206" s="107"/>
      <c r="L206" s="107"/>
      <c r="M206" s="107"/>
      <c r="N206" s="107"/>
      <c r="O206" s="106">
        <v>2</v>
      </c>
      <c r="P206" s="106">
        <v>3194.88</v>
      </c>
      <c r="Q206" s="106">
        <v>3194.88</v>
      </c>
      <c r="R206" s="106">
        <v>2</v>
      </c>
      <c r="S206" s="106">
        <v>3194.88</v>
      </c>
      <c r="T206" s="107"/>
      <c r="U206" s="106"/>
    </row>
    <row r="207" spans="1:21" s="56" customFormat="1" ht="51" x14ac:dyDescent="0.2">
      <c r="A207" s="100">
        <v>63</v>
      </c>
      <c r="B207" s="101" t="s">
        <v>245</v>
      </c>
      <c r="C207" s="102" t="s">
        <v>129</v>
      </c>
      <c r="D207" s="103" t="s">
        <v>131</v>
      </c>
      <c r="E207" s="104" t="s">
        <v>55</v>
      </c>
      <c r="F207" s="105">
        <v>986.5</v>
      </c>
      <c r="G207" s="105">
        <v>1.95E-2</v>
      </c>
      <c r="H207" s="106">
        <v>19.239999999999998</v>
      </c>
      <c r="I207" s="107"/>
      <c r="J207" s="107"/>
      <c r="K207" s="107"/>
      <c r="L207" s="107"/>
      <c r="M207" s="107"/>
      <c r="N207" s="107"/>
      <c r="O207" s="106">
        <v>1.95E-2</v>
      </c>
      <c r="P207" s="106">
        <v>19.239999999999998</v>
      </c>
      <c r="Q207" s="106">
        <v>19.239999999999998</v>
      </c>
      <c r="R207" s="106">
        <v>1.95E-2</v>
      </c>
      <c r="S207" s="106">
        <v>19.239999999999998</v>
      </c>
      <c r="T207" s="107"/>
      <c r="U207" s="107"/>
    </row>
    <row r="208" spans="1:21" s="56" customFormat="1" ht="19.149999999999999" customHeight="1" x14ac:dyDescent="0.2">
      <c r="A208" s="98" t="s">
        <v>246</v>
      </c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</row>
    <row r="209" spans="1:21" s="56" customFormat="1" ht="76.5" x14ac:dyDescent="0.2">
      <c r="A209" s="100">
        <v>64</v>
      </c>
      <c r="B209" s="101" t="s">
        <v>247</v>
      </c>
      <c r="C209" s="102" t="s">
        <v>248</v>
      </c>
      <c r="D209" s="103" t="s">
        <v>54</v>
      </c>
      <c r="E209" s="104" t="s">
        <v>55</v>
      </c>
      <c r="F209" s="105">
        <v>1740.55</v>
      </c>
      <c r="G209" s="105">
        <v>0.15</v>
      </c>
      <c r="H209" s="106">
        <v>261.08</v>
      </c>
      <c r="I209" s="107"/>
      <c r="J209" s="107"/>
      <c r="K209" s="107"/>
      <c r="L209" s="107"/>
      <c r="M209" s="107"/>
      <c r="N209" s="107"/>
      <c r="O209" s="106">
        <v>0.15</v>
      </c>
      <c r="P209" s="106">
        <v>261.08</v>
      </c>
      <c r="Q209" s="106">
        <v>261.08</v>
      </c>
      <c r="R209" s="106">
        <v>0.15</v>
      </c>
      <c r="S209" s="106">
        <v>261.08</v>
      </c>
      <c r="T209" s="107"/>
      <c r="U209" s="106"/>
    </row>
    <row r="210" spans="1:21" s="56" customFormat="1" ht="102" x14ac:dyDescent="0.2">
      <c r="A210" s="100">
        <v>65</v>
      </c>
      <c r="B210" s="101" t="s">
        <v>249</v>
      </c>
      <c r="C210" s="102" t="s">
        <v>250</v>
      </c>
      <c r="D210" s="103" t="s">
        <v>244</v>
      </c>
      <c r="E210" s="104" t="s">
        <v>74</v>
      </c>
      <c r="F210" s="105">
        <v>532.42999999999995</v>
      </c>
      <c r="G210" s="108">
        <v>1</v>
      </c>
      <c r="H210" s="106">
        <v>532.42999999999995</v>
      </c>
      <c r="I210" s="107"/>
      <c r="J210" s="107"/>
      <c r="K210" s="107"/>
      <c r="L210" s="107"/>
      <c r="M210" s="107"/>
      <c r="N210" s="107"/>
      <c r="O210" s="106">
        <v>1</v>
      </c>
      <c r="P210" s="106">
        <v>532.42999999999995</v>
      </c>
      <c r="Q210" s="106">
        <v>532.42999999999995</v>
      </c>
      <c r="R210" s="106">
        <v>1</v>
      </c>
      <c r="S210" s="106">
        <v>532.42999999999995</v>
      </c>
      <c r="T210" s="107"/>
      <c r="U210" s="107"/>
    </row>
    <row r="211" spans="1:21" s="56" customFormat="1" x14ac:dyDescent="0.2">
      <c r="A211" s="109" t="s">
        <v>75</v>
      </c>
      <c r="B211" s="110"/>
      <c r="C211" s="110"/>
      <c r="D211" s="110"/>
      <c r="E211" s="104"/>
      <c r="F211" s="105"/>
      <c r="G211" s="105"/>
      <c r="H211" s="126">
        <f>6577.39*5.8108</f>
        <v>38219.897812000003</v>
      </c>
      <c r="I211" s="127"/>
      <c r="J211" s="126"/>
      <c r="K211" s="126"/>
      <c r="L211" s="127"/>
      <c r="M211" s="126"/>
      <c r="N211" s="126"/>
      <c r="O211" s="127"/>
      <c r="P211" s="126">
        <f>H211</f>
        <v>38219.897812000003</v>
      </c>
      <c r="Q211" s="126">
        <f>P211</f>
        <v>38219.897812000003</v>
      </c>
      <c r="R211" s="127"/>
      <c r="S211" s="126">
        <f>Q211</f>
        <v>38219.897812000003</v>
      </c>
      <c r="T211" s="107"/>
      <c r="U211" s="106"/>
    </row>
    <row r="212" spans="1:21" s="56" customFormat="1" outlineLevel="1" x14ac:dyDescent="0.2">
      <c r="A212" s="111" t="s">
        <v>76</v>
      </c>
      <c r="B212" s="110"/>
      <c r="C212" s="110"/>
      <c r="D212" s="110"/>
      <c r="E212" s="104"/>
      <c r="F212" s="105"/>
      <c r="G212" s="105"/>
      <c r="H212" s="126">
        <f>1669.77*5.8108</f>
        <v>9702.6995160000006</v>
      </c>
      <c r="I212" s="127"/>
      <c r="J212" s="126"/>
      <c r="K212" s="126"/>
      <c r="L212" s="127"/>
      <c r="M212" s="126"/>
      <c r="N212" s="126"/>
      <c r="O212" s="127"/>
      <c r="P212" s="126">
        <f t="shared" ref="P212:P218" si="3">H212</f>
        <v>9702.6995160000006</v>
      </c>
      <c r="Q212" s="126">
        <f t="shared" ref="Q212:Q218" si="4">P212</f>
        <v>9702.6995160000006</v>
      </c>
      <c r="R212" s="127"/>
      <c r="S212" s="126">
        <f t="shared" ref="S212:S218" si="5">Q212</f>
        <v>9702.6995160000006</v>
      </c>
      <c r="T212" s="107"/>
      <c r="U212" s="106"/>
    </row>
    <row r="213" spans="1:21" s="56" customFormat="1" outlineLevel="1" x14ac:dyDescent="0.2">
      <c r="A213" s="111" t="s">
        <v>77</v>
      </c>
      <c r="B213" s="110"/>
      <c r="C213" s="110"/>
      <c r="D213" s="110"/>
      <c r="E213" s="104"/>
      <c r="F213" s="105"/>
      <c r="G213" s="105"/>
      <c r="H213" s="126">
        <f>3468.5*5.8108</f>
        <v>20154.7598</v>
      </c>
      <c r="I213" s="127"/>
      <c r="J213" s="126"/>
      <c r="K213" s="126"/>
      <c r="L213" s="127"/>
      <c r="M213" s="126"/>
      <c r="N213" s="126"/>
      <c r="O213" s="127"/>
      <c r="P213" s="126">
        <f t="shared" si="3"/>
        <v>20154.7598</v>
      </c>
      <c r="Q213" s="126">
        <f t="shared" si="4"/>
        <v>20154.7598</v>
      </c>
      <c r="R213" s="127"/>
      <c r="S213" s="126">
        <f t="shared" si="5"/>
        <v>20154.7598</v>
      </c>
      <c r="T213" s="107"/>
      <c r="U213" s="106"/>
    </row>
    <row r="214" spans="1:21" s="56" customFormat="1" outlineLevel="1" x14ac:dyDescent="0.2">
      <c r="A214" s="111" t="s">
        <v>78</v>
      </c>
      <c r="B214" s="110"/>
      <c r="C214" s="110"/>
      <c r="D214" s="110"/>
      <c r="E214" s="104"/>
      <c r="F214" s="105"/>
      <c r="G214" s="105"/>
      <c r="H214" s="126">
        <f>1716.3*5.8108</f>
        <v>9973.0760399999999</v>
      </c>
      <c r="I214" s="127"/>
      <c r="J214" s="126"/>
      <c r="K214" s="126"/>
      <c r="L214" s="127"/>
      <c r="M214" s="126"/>
      <c r="N214" s="126"/>
      <c r="O214" s="127"/>
      <c r="P214" s="126">
        <f t="shared" si="3"/>
        <v>9973.0760399999999</v>
      </c>
      <c r="Q214" s="126">
        <f t="shared" si="4"/>
        <v>9973.0760399999999</v>
      </c>
      <c r="R214" s="127"/>
      <c r="S214" s="126">
        <f t="shared" si="5"/>
        <v>9973.0760399999999</v>
      </c>
      <c r="T214" s="107"/>
      <c r="U214" s="106"/>
    </row>
    <row r="215" spans="1:21" s="56" customFormat="1" x14ac:dyDescent="0.2">
      <c r="A215" s="109" t="s">
        <v>79</v>
      </c>
      <c r="B215" s="110"/>
      <c r="C215" s="110"/>
      <c r="D215" s="110"/>
      <c r="E215" s="104"/>
      <c r="F215" s="105"/>
      <c r="G215" s="105"/>
      <c r="H215" s="126">
        <f>1630.49*5.8108</f>
        <v>9474.4512920000016</v>
      </c>
      <c r="I215" s="127"/>
      <c r="J215" s="126"/>
      <c r="K215" s="126"/>
      <c r="L215" s="127"/>
      <c r="M215" s="126"/>
      <c r="N215" s="126"/>
      <c r="O215" s="127"/>
      <c r="P215" s="126">
        <f t="shared" si="3"/>
        <v>9474.4512920000016</v>
      </c>
      <c r="Q215" s="126">
        <f t="shared" si="4"/>
        <v>9474.4512920000016</v>
      </c>
      <c r="R215" s="127"/>
      <c r="S215" s="126">
        <f t="shared" si="5"/>
        <v>9474.4512920000016</v>
      </c>
      <c r="T215" s="107"/>
      <c r="U215" s="106"/>
    </row>
    <row r="216" spans="1:21" s="56" customFormat="1" x14ac:dyDescent="0.2">
      <c r="A216" s="109" t="s">
        <v>80</v>
      </c>
      <c r="B216" s="110"/>
      <c r="C216" s="110"/>
      <c r="D216" s="110"/>
      <c r="E216" s="104"/>
      <c r="F216" s="105"/>
      <c r="G216" s="105"/>
      <c r="H216" s="126">
        <f>1115.6*5.8108</f>
        <v>6482.5284799999999</v>
      </c>
      <c r="I216" s="127"/>
      <c r="J216" s="126"/>
      <c r="K216" s="126"/>
      <c r="L216" s="127"/>
      <c r="M216" s="126"/>
      <c r="N216" s="126"/>
      <c r="O216" s="127"/>
      <c r="P216" s="126">
        <f t="shared" si="3"/>
        <v>6482.5284799999999</v>
      </c>
      <c r="Q216" s="126">
        <f t="shared" si="4"/>
        <v>6482.5284799999999</v>
      </c>
      <c r="R216" s="127"/>
      <c r="S216" s="126">
        <f t="shared" si="5"/>
        <v>6482.5284799999999</v>
      </c>
      <c r="T216" s="107"/>
      <c r="U216" s="106"/>
    </row>
    <row r="217" spans="1:21" s="56" customFormat="1" x14ac:dyDescent="0.2">
      <c r="A217" s="109" t="s">
        <v>81</v>
      </c>
      <c r="B217" s="110"/>
      <c r="C217" s="110"/>
      <c r="D217" s="110"/>
      <c r="E217" s="104"/>
      <c r="F217" s="105"/>
      <c r="G217" s="105"/>
      <c r="H217" s="126">
        <f>9323.48*5.8108</f>
        <v>54176.877584000002</v>
      </c>
      <c r="I217" s="127"/>
      <c r="J217" s="126"/>
      <c r="K217" s="126"/>
      <c r="L217" s="127"/>
      <c r="M217" s="126"/>
      <c r="N217" s="126"/>
      <c r="O217" s="127"/>
      <c r="P217" s="126">
        <f t="shared" si="3"/>
        <v>54176.877584000002</v>
      </c>
      <c r="Q217" s="126">
        <f t="shared" si="4"/>
        <v>54176.877584000002</v>
      </c>
      <c r="R217" s="127"/>
      <c r="S217" s="126">
        <f t="shared" si="5"/>
        <v>54176.877584000002</v>
      </c>
      <c r="T217" s="107"/>
      <c r="U217" s="106"/>
    </row>
    <row r="218" spans="1:21" s="56" customFormat="1" x14ac:dyDescent="0.2">
      <c r="A218" s="109" t="s">
        <v>82</v>
      </c>
      <c r="B218" s="110"/>
      <c r="C218" s="110"/>
      <c r="D218" s="110"/>
      <c r="E218" s="104"/>
      <c r="F218" s="105"/>
      <c r="G218" s="105"/>
      <c r="H218" s="128">
        <f>9323.48*5.8108</f>
        <v>54176.877584000002</v>
      </c>
      <c r="I218" s="127"/>
      <c r="J218" s="128"/>
      <c r="K218" s="128"/>
      <c r="L218" s="127"/>
      <c r="M218" s="128"/>
      <c r="N218" s="128"/>
      <c r="O218" s="127"/>
      <c r="P218" s="128">
        <f t="shared" si="3"/>
        <v>54176.877584000002</v>
      </c>
      <c r="Q218" s="128">
        <f t="shared" si="4"/>
        <v>54176.877584000002</v>
      </c>
      <c r="R218" s="127"/>
      <c r="S218" s="128">
        <f t="shared" si="5"/>
        <v>54176.877584000002</v>
      </c>
      <c r="T218" s="107"/>
      <c r="U218" s="112"/>
    </row>
    <row r="219" spans="1:21" s="56" customFormat="1" ht="22.5" customHeight="1" x14ac:dyDescent="0.2">
      <c r="A219" s="96" t="s">
        <v>251</v>
      </c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</row>
    <row r="220" spans="1:21" s="56" customFormat="1" ht="19.149999999999999" customHeight="1" x14ac:dyDescent="0.2">
      <c r="A220" s="98" t="s">
        <v>252</v>
      </c>
      <c r="B220" s="99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</row>
    <row r="221" spans="1:21" s="56" customFormat="1" ht="89.25" x14ac:dyDescent="0.2">
      <c r="A221" s="113">
        <v>66</v>
      </c>
      <c r="B221" s="114" t="s">
        <v>253</v>
      </c>
      <c r="C221" s="115" t="s">
        <v>254</v>
      </c>
      <c r="D221" s="116" t="s">
        <v>255</v>
      </c>
      <c r="E221" s="117" t="s">
        <v>256</v>
      </c>
      <c r="F221" s="118">
        <v>113892.01</v>
      </c>
      <c r="G221" s="120">
        <v>8</v>
      </c>
      <c r="H221" s="119">
        <v>911136.08</v>
      </c>
      <c r="I221" s="119">
        <v>8</v>
      </c>
      <c r="J221" s="119">
        <v>911136.08</v>
      </c>
      <c r="K221" s="119">
        <v>911136.08</v>
      </c>
      <c r="L221" s="107"/>
      <c r="M221" s="107"/>
      <c r="N221" s="107"/>
      <c r="O221" s="107"/>
      <c r="P221" s="107"/>
      <c r="Q221" s="107"/>
      <c r="R221" s="119">
        <v>8</v>
      </c>
      <c r="S221" s="119">
        <v>911136.08</v>
      </c>
      <c r="T221" s="107"/>
      <c r="U221" s="107"/>
    </row>
    <row r="222" spans="1:21" s="56" customFormat="1" ht="89.25" x14ac:dyDescent="0.2">
      <c r="A222" s="113">
        <v>67</v>
      </c>
      <c r="B222" s="114" t="s">
        <v>257</v>
      </c>
      <c r="C222" s="115" t="s">
        <v>258</v>
      </c>
      <c r="D222" s="116" t="s">
        <v>255</v>
      </c>
      <c r="E222" s="117" t="s">
        <v>256</v>
      </c>
      <c r="F222" s="118">
        <v>1120495.5</v>
      </c>
      <c r="G222" s="120">
        <v>8</v>
      </c>
      <c r="H222" s="119">
        <v>8963964</v>
      </c>
      <c r="I222" s="119">
        <v>8</v>
      </c>
      <c r="J222" s="119">
        <v>8963964</v>
      </c>
      <c r="K222" s="119">
        <v>8963964</v>
      </c>
      <c r="L222" s="107"/>
      <c r="M222" s="107"/>
      <c r="N222" s="107"/>
      <c r="O222" s="107"/>
      <c r="P222" s="107"/>
      <c r="Q222" s="107"/>
      <c r="R222" s="119">
        <v>8</v>
      </c>
      <c r="S222" s="119">
        <v>8963964</v>
      </c>
      <c r="T222" s="107"/>
      <c r="U222" s="107"/>
    </row>
    <row r="223" spans="1:21" s="56" customFormat="1" ht="76.5" x14ac:dyDescent="0.2">
      <c r="A223" s="100">
        <v>68</v>
      </c>
      <c r="B223" s="101" t="s">
        <v>259</v>
      </c>
      <c r="C223" s="102" t="s">
        <v>260</v>
      </c>
      <c r="D223" s="103" t="s">
        <v>261</v>
      </c>
      <c r="E223" s="104" t="s">
        <v>256</v>
      </c>
      <c r="F223" s="105">
        <v>221882.96</v>
      </c>
      <c r="G223" s="108">
        <v>2</v>
      </c>
      <c r="H223" s="106">
        <v>443765.92</v>
      </c>
      <c r="I223" s="106">
        <v>2</v>
      </c>
      <c r="J223" s="106">
        <v>443765.92</v>
      </c>
      <c r="K223" s="106">
        <v>443765.92</v>
      </c>
      <c r="L223" s="107"/>
      <c r="M223" s="107"/>
      <c r="N223" s="107"/>
      <c r="O223" s="107"/>
      <c r="P223" s="107"/>
      <c r="Q223" s="107"/>
      <c r="R223" s="106">
        <v>2</v>
      </c>
      <c r="S223" s="106">
        <v>443765.92</v>
      </c>
      <c r="T223" s="107"/>
      <c r="U223" s="107"/>
    </row>
    <row r="224" spans="1:21" s="56" customFormat="1" ht="76.5" x14ac:dyDescent="0.2">
      <c r="A224" s="100">
        <v>69</v>
      </c>
      <c r="B224" s="101" t="s">
        <v>262</v>
      </c>
      <c r="C224" s="102" t="s">
        <v>263</v>
      </c>
      <c r="D224" s="103" t="s">
        <v>261</v>
      </c>
      <c r="E224" s="104" t="s">
        <v>256</v>
      </c>
      <c r="F224" s="105">
        <v>180642.96</v>
      </c>
      <c r="G224" s="108">
        <v>4</v>
      </c>
      <c r="H224" s="106">
        <v>722571.84</v>
      </c>
      <c r="I224" s="106">
        <v>4</v>
      </c>
      <c r="J224" s="106">
        <v>722571.84</v>
      </c>
      <c r="K224" s="106">
        <v>722571.84</v>
      </c>
      <c r="L224" s="107"/>
      <c r="M224" s="107"/>
      <c r="N224" s="107"/>
      <c r="O224" s="107"/>
      <c r="P224" s="107"/>
      <c r="Q224" s="107"/>
      <c r="R224" s="106">
        <v>4</v>
      </c>
      <c r="S224" s="106">
        <v>722571.84</v>
      </c>
      <c r="T224" s="107"/>
      <c r="U224" s="106"/>
    </row>
    <row r="225" spans="1:21" s="56" customFormat="1" ht="76.5" x14ac:dyDescent="0.2">
      <c r="A225" s="100">
        <v>70</v>
      </c>
      <c r="B225" s="101" t="s">
        <v>264</v>
      </c>
      <c r="C225" s="102" t="s">
        <v>265</v>
      </c>
      <c r="D225" s="103" t="s">
        <v>261</v>
      </c>
      <c r="E225" s="104" t="s">
        <v>256</v>
      </c>
      <c r="F225" s="105">
        <v>59662.559999999998</v>
      </c>
      <c r="G225" s="108">
        <v>6</v>
      </c>
      <c r="H225" s="106">
        <v>357975.36</v>
      </c>
      <c r="I225" s="106">
        <v>6</v>
      </c>
      <c r="J225" s="106">
        <v>357975.36</v>
      </c>
      <c r="K225" s="106">
        <v>357975.36</v>
      </c>
      <c r="L225" s="107"/>
      <c r="M225" s="107"/>
      <c r="N225" s="107"/>
      <c r="O225" s="107"/>
      <c r="P225" s="107"/>
      <c r="Q225" s="107"/>
      <c r="R225" s="106">
        <v>6</v>
      </c>
      <c r="S225" s="106">
        <v>357975.36</v>
      </c>
      <c r="T225" s="107"/>
      <c r="U225" s="106"/>
    </row>
    <row r="226" spans="1:21" s="56" customFormat="1" x14ac:dyDescent="0.2">
      <c r="A226" s="109" t="s">
        <v>75</v>
      </c>
      <c r="B226" s="110"/>
      <c r="C226" s="110"/>
      <c r="D226" s="110"/>
      <c r="E226" s="104"/>
      <c r="F226" s="105"/>
      <c r="G226" s="105"/>
      <c r="H226" s="126">
        <f>1524313.12*4.4103</f>
        <v>6722678.153136001</v>
      </c>
      <c r="I226" s="127"/>
      <c r="J226" s="126">
        <f>H226</f>
        <v>6722678.153136001</v>
      </c>
      <c r="K226" s="126">
        <f>J226</f>
        <v>6722678.153136001</v>
      </c>
      <c r="L226" s="127"/>
      <c r="M226" s="126"/>
      <c r="N226" s="126">
        <f>K226</f>
        <v>6722678.153136001</v>
      </c>
      <c r="O226" s="127"/>
      <c r="P226" s="126"/>
      <c r="Q226" s="126">
        <f>N226</f>
        <v>6722678.153136001</v>
      </c>
      <c r="R226" s="127"/>
      <c r="S226" s="126">
        <f>Q226</f>
        <v>6722678.153136001</v>
      </c>
      <c r="T226" s="107"/>
      <c r="U226" s="106"/>
    </row>
    <row r="227" spans="1:21" s="56" customFormat="1" outlineLevel="1" x14ac:dyDescent="0.2">
      <c r="A227" s="111" t="s">
        <v>76</v>
      </c>
      <c r="B227" s="110"/>
      <c r="C227" s="110"/>
      <c r="D227" s="110"/>
      <c r="E227" s="104"/>
      <c r="F227" s="105"/>
      <c r="G227" s="105"/>
      <c r="H227" s="126"/>
      <c r="I227" s="127"/>
      <c r="J227" s="126"/>
      <c r="K227" s="126"/>
      <c r="L227" s="127"/>
      <c r="M227" s="126"/>
      <c r="N227" s="126"/>
      <c r="O227" s="127"/>
      <c r="P227" s="126"/>
      <c r="Q227" s="126"/>
      <c r="R227" s="127"/>
      <c r="S227" s="126"/>
      <c r="T227" s="107"/>
      <c r="U227" s="106"/>
    </row>
    <row r="228" spans="1:21" s="56" customFormat="1" outlineLevel="1" x14ac:dyDescent="0.2">
      <c r="A228" s="111" t="s">
        <v>77</v>
      </c>
      <c r="B228" s="110"/>
      <c r="C228" s="110"/>
      <c r="D228" s="110"/>
      <c r="E228" s="104"/>
      <c r="F228" s="105"/>
      <c r="G228" s="105"/>
      <c r="H228" s="126"/>
      <c r="I228" s="127"/>
      <c r="J228" s="126"/>
      <c r="K228" s="126"/>
      <c r="L228" s="127"/>
      <c r="M228" s="126"/>
      <c r="N228" s="126"/>
      <c r="O228" s="127"/>
      <c r="P228" s="126"/>
      <c r="Q228" s="126"/>
      <c r="R228" s="127"/>
      <c r="S228" s="126"/>
      <c r="T228" s="107"/>
      <c r="U228" s="106"/>
    </row>
    <row r="229" spans="1:21" s="56" customFormat="1" outlineLevel="1" x14ac:dyDescent="0.2">
      <c r="A229" s="111" t="s">
        <v>78</v>
      </c>
      <c r="B229" s="110"/>
      <c r="C229" s="110"/>
      <c r="D229" s="110"/>
      <c r="E229" s="104"/>
      <c r="F229" s="105"/>
      <c r="G229" s="105"/>
      <c r="H229" s="126"/>
      <c r="I229" s="127"/>
      <c r="J229" s="126"/>
      <c r="K229" s="126"/>
      <c r="L229" s="127"/>
      <c r="M229" s="126"/>
      <c r="N229" s="126"/>
      <c r="O229" s="127"/>
      <c r="P229" s="126"/>
      <c r="Q229" s="126"/>
      <c r="R229" s="127"/>
      <c r="S229" s="126"/>
      <c r="T229" s="107"/>
      <c r="U229" s="106"/>
    </row>
    <row r="230" spans="1:21" s="56" customFormat="1" outlineLevel="1" x14ac:dyDescent="0.2">
      <c r="A230" s="111" t="s">
        <v>266</v>
      </c>
      <c r="B230" s="110"/>
      <c r="C230" s="110"/>
      <c r="D230" s="110"/>
      <c r="E230" s="104"/>
      <c r="F230" s="105"/>
      <c r="G230" s="105"/>
      <c r="H230" s="126">
        <f>1524313.12*4.4103</f>
        <v>6722678.153136001</v>
      </c>
      <c r="I230" s="127"/>
      <c r="J230" s="126">
        <f>H230</f>
        <v>6722678.153136001</v>
      </c>
      <c r="K230" s="126">
        <f>J230</f>
        <v>6722678.153136001</v>
      </c>
      <c r="L230" s="127"/>
      <c r="M230" s="127"/>
      <c r="N230" s="126">
        <f>K230</f>
        <v>6722678.153136001</v>
      </c>
      <c r="O230" s="127"/>
      <c r="P230" s="127"/>
      <c r="Q230" s="126">
        <f>N230</f>
        <v>6722678.153136001</v>
      </c>
      <c r="R230" s="127"/>
      <c r="S230" s="126">
        <f>Q230</f>
        <v>6722678.153136001</v>
      </c>
      <c r="T230" s="107"/>
      <c r="U230" s="107"/>
    </row>
    <row r="231" spans="1:21" s="56" customFormat="1" x14ac:dyDescent="0.2">
      <c r="A231" s="109" t="s">
        <v>79</v>
      </c>
      <c r="B231" s="110"/>
      <c r="C231" s="110"/>
      <c r="D231" s="110"/>
      <c r="E231" s="104"/>
      <c r="F231" s="105"/>
      <c r="G231" s="105"/>
      <c r="H231" s="126"/>
      <c r="I231" s="127"/>
      <c r="J231" s="126"/>
      <c r="K231" s="126"/>
      <c r="L231" s="127"/>
      <c r="M231" s="126"/>
      <c r="N231" s="126"/>
      <c r="O231" s="127"/>
      <c r="P231" s="126"/>
      <c r="Q231" s="126"/>
      <c r="R231" s="127"/>
      <c r="S231" s="126"/>
      <c r="T231" s="107"/>
      <c r="U231" s="106"/>
    </row>
    <row r="232" spans="1:21" s="56" customFormat="1" x14ac:dyDescent="0.2">
      <c r="A232" s="109" t="s">
        <v>80</v>
      </c>
      <c r="B232" s="110"/>
      <c r="C232" s="110"/>
      <c r="D232" s="110"/>
      <c r="E232" s="104"/>
      <c r="F232" s="105"/>
      <c r="G232" s="105"/>
      <c r="H232" s="126"/>
      <c r="I232" s="127"/>
      <c r="J232" s="126"/>
      <c r="K232" s="126"/>
      <c r="L232" s="127"/>
      <c r="M232" s="126"/>
      <c r="N232" s="126"/>
      <c r="O232" s="127"/>
      <c r="P232" s="126"/>
      <c r="Q232" s="126"/>
      <c r="R232" s="127"/>
      <c r="S232" s="126"/>
      <c r="T232" s="107"/>
      <c r="U232" s="106"/>
    </row>
    <row r="233" spans="1:21" s="56" customFormat="1" x14ac:dyDescent="0.2">
      <c r="A233" s="109" t="s">
        <v>81</v>
      </c>
      <c r="B233" s="110"/>
      <c r="C233" s="110"/>
      <c r="D233" s="110"/>
      <c r="E233" s="104"/>
      <c r="F233" s="105"/>
      <c r="G233" s="105"/>
      <c r="H233" s="126">
        <f>1524313.12*4.4103</f>
        <v>6722678.153136001</v>
      </c>
      <c r="I233" s="127"/>
      <c r="J233" s="126">
        <f>H233</f>
        <v>6722678.153136001</v>
      </c>
      <c r="K233" s="126">
        <f>J233</f>
        <v>6722678.153136001</v>
      </c>
      <c r="L233" s="127"/>
      <c r="M233" s="126"/>
      <c r="N233" s="126">
        <f>K233</f>
        <v>6722678.153136001</v>
      </c>
      <c r="O233" s="127"/>
      <c r="P233" s="126"/>
      <c r="Q233" s="126">
        <f>N233</f>
        <v>6722678.153136001</v>
      </c>
      <c r="R233" s="127"/>
      <c r="S233" s="126">
        <f>Q233</f>
        <v>6722678.153136001</v>
      </c>
      <c r="T233" s="107"/>
      <c r="U233" s="106"/>
    </row>
    <row r="234" spans="1:21" s="56" customFormat="1" x14ac:dyDescent="0.2">
      <c r="A234" s="109" t="s">
        <v>82</v>
      </c>
      <c r="B234" s="110"/>
      <c r="C234" s="110"/>
      <c r="D234" s="110"/>
      <c r="E234" s="104"/>
      <c r="F234" s="105"/>
      <c r="G234" s="105"/>
      <c r="H234" s="128">
        <f>1524313.12*4.4103</f>
        <v>6722678.153136001</v>
      </c>
      <c r="I234" s="127"/>
      <c r="J234" s="128">
        <f>H234</f>
        <v>6722678.153136001</v>
      </c>
      <c r="K234" s="128">
        <f>J234</f>
        <v>6722678.153136001</v>
      </c>
      <c r="L234" s="127"/>
      <c r="M234" s="128"/>
      <c r="N234" s="128">
        <f>K234</f>
        <v>6722678.153136001</v>
      </c>
      <c r="O234" s="127"/>
      <c r="P234" s="128"/>
      <c r="Q234" s="128">
        <f>N234</f>
        <v>6722678.153136001</v>
      </c>
      <c r="R234" s="127"/>
      <c r="S234" s="128">
        <f>Q234</f>
        <v>6722678.153136001</v>
      </c>
      <c r="T234" s="107"/>
      <c r="U234" s="112"/>
    </row>
    <row r="235" spans="1:21" s="56" customFormat="1" ht="22.5" customHeight="1" x14ac:dyDescent="0.2">
      <c r="A235" s="96" t="s">
        <v>267</v>
      </c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</row>
    <row r="236" spans="1:21" s="56" customFormat="1" ht="89.25" x14ac:dyDescent="0.2">
      <c r="A236" s="113">
        <v>71</v>
      </c>
      <c r="B236" s="114" t="s">
        <v>268</v>
      </c>
      <c r="C236" s="115" t="s">
        <v>269</v>
      </c>
      <c r="D236" s="116" t="s">
        <v>255</v>
      </c>
      <c r="E236" s="117" t="s">
        <v>256</v>
      </c>
      <c r="F236" s="118">
        <v>255543.21</v>
      </c>
      <c r="G236" s="120">
        <v>1</v>
      </c>
      <c r="H236" s="119">
        <v>255543.21</v>
      </c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19">
        <v>1</v>
      </c>
      <c r="U236" s="119">
        <v>255543.21</v>
      </c>
    </row>
    <row r="237" spans="1:21" s="56" customFormat="1" ht="89.25" x14ac:dyDescent="0.2">
      <c r="A237" s="113">
        <v>72</v>
      </c>
      <c r="B237" s="114" t="s">
        <v>270</v>
      </c>
      <c r="C237" s="115" t="s">
        <v>271</v>
      </c>
      <c r="D237" s="116" t="s">
        <v>255</v>
      </c>
      <c r="E237" s="117" t="s">
        <v>256</v>
      </c>
      <c r="F237" s="118">
        <v>211675.35</v>
      </c>
      <c r="G237" s="120">
        <v>6</v>
      </c>
      <c r="H237" s="119">
        <v>1270052.1000000001</v>
      </c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19">
        <v>6</v>
      </c>
      <c r="U237" s="119">
        <v>1270052.1000000001</v>
      </c>
    </row>
    <row r="238" spans="1:21" s="56" customFormat="1" ht="89.25" x14ac:dyDescent="0.2">
      <c r="A238" s="113">
        <v>73</v>
      </c>
      <c r="B238" s="114" t="s">
        <v>272</v>
      </c>
      <c r="C238" s="115" t="s">
        <v>273</v>
      </c>
      <c r="D238" s="116" t="s">
        <v>255</v>
      </c>
      <c r="E238" s="117" t="s">
        <v>256</v>
      </c>
      <c r="F238" s="118">
        <v>438084.05</v>
      </c>
      <c r="G238" s="120">
        <v>2</v>
      </c>
      <c r="H238" s="119">
        <v>876168.1</v>
      </c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19">
        <v>2</v>
      </c>
      <c r="U238" s="119">
        <v>876168.1</v>
      </c>
    </row>
    <row r="239" spans="1:21" s="56" customFormat="1" ht="89.25" x14ac:dyDescent="0.2">
      <c r="A239" s="113">
        <v>74</v>
      </c>
      <c r="B239" s="114" t="s">
        <v>274</v>
      </c>
      <c r="C239" s="115" t="s">
        <v>275</v>
      </c>
      <c r="D239" s="116" t="s">
        <v>255</v>
      </c>
      <c r="E239" s="117" t="s">
        <v>256</v>
      </c>
      <c r="F239" s="118">
        <v>181718.24</v>
      </c>
      <c r="G239" s="120">
        <v>1</v>
      </c>
      <c r="H239" s="119">
        <v>181718.24</v>
      </c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19">
        <v>1</v>
      </c>
      <c r="U239" s="119">
        <v>181718.24</v>
      </c>
    </row>
    <row r="240" spans="1:21" s="56" customFormat="1" ht="76.5" x14ac:dyDescent="0.2">
      <c r="A240" s="100">
        <v>75</v>
      </c>
      <c r="B240" s="101" t="s">
        <v>276</v>
      </c>
      <c r="C240" s="102" t="s">
        <v>277</v>
      </c>
      <c r="D240" s="103" t="s">
        <v>261</v>
      </c>
      <c r="E240" s="104" t="s">
        <v>256</v>
      </c>
      <c r="F240" s="105">
        <v>19620.240000000002</v>
      </c>
      <c r="G240" s="108">
        <v>16</v>
      </c>
      <c r="H240" s="106">
        <v>313923.84000000003</v>
      </c>
      <c r="I240" s="107"/>
      <c r="J240" s="107"/>
      <c r="K240" s="107"/>
      <c r="L240" s="106">
        <v>16</v>
      </c>
      <c r="M240" s="106">
        <v>313923.84000000003</v>
      </c>
      <c r="N240" s="106">
        <v>313923.84000000003</v>
      </c>
      <c r="O240" s="107"/>
      <c r="P240" s="107"/>
      <c r="Q240" s="107"/>
      <c r="R240" s="106">
        <v>16</v>
      </c>
      <c r="S240" s="106">
        <v>313923.84000000003</v>
      </c>
      <c r="T240" s="107"/>
      <c r="U240" s="107"/>
    </row>
    <row r="241" spans="1:21" s="56" customFormat="1" ht="76.5" x14ac:dyDescent="0.2">
      <c r="A241" s="100">
        <v>76</v>
      </c>
      <c r="B241" s="101" t="s">
        <v>278</v>
      </c>
      <c r="C241" s="102" t="s">
        <v>279</v>
      </c>
      <c r="D241" s="103" t="s">
        <v>261</v>
      </c>
      <c r="E241" s="104" t="s">
        <v>256</v>
      </c>
      <c r="F241" s="105">
        <v>19620.240000000002</v>
      </c>
      <c r="G241" s="108">
        <v>30</v>
      </c>
      <c r="H241" s="106">
        <v>588607.19999999995</v>
      </c>
      <c r="I241" s="107"/>
      <c r="J241" s="107"/>
      <c r="K241" s="107"/>
      <c r="L241" s="106">
        <v>30</v>
      </c>
      <c r="M241" s="106">
        <v>588607.19999999995</v>
      </c>
      <c r="N241" s="106">
        <v>588607.19999999995</v>
      </c>
      <c r="O241" s="107"/>
      <c r="P241" s="107"/>
      <c r="Q241" s="107"/>
      <c r="R241" s="106">
        <v>30</v>
      </c>
      <c r="S241" s="106">
        <v>588607.19999999995</v>
      </c>
      <c r="T241" s="107"/>
      <c r="U241" s="107"/>
    </row>
    <row r="242" spans="1:21" s="56" customFormat="1" ht="76.5" x14ac:dyDescent="0.2">
      <c r="A242" s="100">
        <v>77</v>
      </c>
      <c r="B242" s="101" t="s">
        <v>280</v>
      </c>
      <c r="C242" s="102" t="s">
        <v>277</v>
      </c>
      <c r="D242" s="103" t="s">
        <v>261</v>
      </c>
      <c r="E242" s="104" t="s">
        <v>256</v>
      </c>
      <c r="F242" s="105">
        <v>17288.580000000002</v>
      </c>
      <c r="G242" s="108">
        <v>4</v>
      </c>
      <c r="H242" s="106">
        <v>69154.320000000007</v>
      </c>
      <c r="I242" s="107"/>
      <c r="J242" s="107"/>
      <c r="K242" s="107"/>
      <c r="L242" s="106">
        <v>4</v>
      </c>
      <c r="M242" s="106">
        <v>69154.320000000007</v>
      </c>
      <c r="N242" s="106">
        <v>69154.320000000007</v>
      </c>
      <c r="O242" s="107"/>
      <c r="P242" s="107"/>
      <c r="Q242" s="107"/>
      <c r="R242" s="106">
        <v>4</v>
      </c>
      <c r="S242" s="106">
        <v>69154.320000000007</v>
      </c>
      <c r="T242" s="107"/>
      <c r="U242" s="107"/>
    </row>
    <row r="243" spans="1:21" s="56" customFormat="1" ht="76.5" x14ac:dyDescent="0.2">
      <c r="A243" s="100">
        <v>78</v>
      </c>
      <c r="B243" s="101" t="s">
        <v>281</v>
      </c>
      <c r="C243" s="102" t="s">
        <v>279</v>
      </c>
      <c r="D243" s="103" t="s">
        <v>261</v>
      </c>
      <c r="E243" s="104" t="s">
        <v>256</v>
      </c>
      <c r="F243" s="105">
        <v>15200.89</v>
      </c>
      <c r="G243" s="108">
        <v>4</v>
      </c>
      <c r="H243" s="106">
        <v>60803.56</v>
      </c>
      <c r="I243" s="107"/>
      <c r="J243" s="107"/>
      <c r="K243" s="107"/>
      <c r="L243" s="106">
        <v>4</v>
      </c>
      <c r="M243" s="106">
        <v>60803.56</v>
      </c>
      <c r="N243" s="106">
        <v>60803.56</v>
      </c>
      <c r="O243" s="107"/>
      <c r="P243" s="107"/>
      <c r="Q243" s="107"/>
      <c r="R243" s="106">
        <v>4</v>
      </c>
      <c r="S243" s="106">
        <v>60803.56</v>
      </c>
      <c r="T243" s="107"/>
      <c r="U243" s="107"/>
    </row>
    <row r="244" spans="1:21" s="56" customFormat="1" ht="89.25" x14ac:dyDescent="0.2">
      <c r="A244" s="113">
        <v>79</v>
      </c>
      <c r="B244" s="114" t="s">
        <v>282</v>
      </c>
      <c r="C244" s="115" t="s">
        <v>283</v>
      </c>
      <c r="D244" s="116" t="s">
        <v>255</v>
      </c>
      <c r="E244" s="117" t="s">
        <v>256</v>
      </c>
      <c r="F244" s="118">
        <v>16971.52</v>
      </c>
      <c r="G244" s="120">
        <v>5</v>
      </c>
      <c r="H244" s="119">
        <v>84857.600000000006</v>
      </c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19">
        <v>5</v>
      </c>
      <c r="U244" s="119">
        <v>84857.600000000006</v>
      </c>
    </row>
    <row r="245" spans="1:21" s="56" customFormat="1" ht="89.25" x14ac:dyDescent="0.2">
      <c r="A245" s="113">
        <v>80</v>
      </c>
      <c r="B245" s="114" t="s">
        <v>284</v>
      </c>
      <c r="C245" s="115" t="s">
        <v>285</v>
      </c>
      <c r="D245" s="116" t="s">
        <v>255</v>
      </c>
      <c r="E245" s="117" t="s">
        <v>286</v>
      </c>
      <c r="F245" s="118">
        <v>1335649.1000000001</v>
      </c>
      <c r="G245" s="120">
        <v>1</v>
      </c>
      <c r="H245" s="119">
        <v>1335649.1000000001</v>
      </c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19">
        <v>1</v>
      </c>
      <c r="U245" s="119">
        <v>1335649.1000000001</v>
      </c>
    </row>
    <row r="246" spans="1:21" s="56" customFormat="1" ht="89.25" x14ac:dyDescent="0.2">
      <c r="A246" s="113">
        <v>81</v>
      </c>
      <c r="B246" s="114" t="s">
        <v>287</v>
      </c>
      <c r="C246" s="115" t="s">
        <v>288</v>
      </c>
      <c r="D246" s="116" t="s">
        <v>255</v>
      </c>
      <c r="E246" s="117" t="s">
        <v>256</v>
      </c>
      <c r="F246" s="118">
        <v>41256.36</v>
      </c>
      <c r="G246" s="120">
        <v>27</v>
      </c>
      <c r="H246" s="119">
        <v>1113921.72</v>
      </c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19">
        <v>27</v>
      </c>
      <c r="U246" s="119">
        <v>1113921.72</v>
      </c>
    </row>
    <row r="247" spans="1:21" s="56" customFormat="1" ht="89.25" x14ac:dyDescent="0.2">
      <c r="A247" s="113">
        <v>82</v>
      </c>
      <c r="B247" s="114" t="s">
        <v>289</v>
      </c>
      <c r="C247" s="115" t="s">
        <v>290</v>
      </c>
      <c r="D247" s="116" t="s">
        <v>255</v>
      </c>
      <c r="E247" s="117" t="s">
        <v>286</v>
      </c>
      <c r="F247" s="118">
        <v>256131.85</v>
      </c>
      <c r="G247" s="120">
        <v>1</v>
      </c>
      <c r="H247" s="119">
        <v>256131.85</v>
      </c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19">
        <v>1</v>
      </c>
      <c r="U247" s="119">
        <v>256131.85</v>
      </c>
    </row>
    <row r="248" spans="1:21" s="56" customFormat="1" x14ac:dyDescent="0.2">
      <c r="A248" s="109" t="s">
        <v>75</v>
      </c>
      <c r="B248" s="110"/>
      <c r="C248" s="110"/>
      <c r="D248" s="110"/>
      <c r="E248" s="104"/>
      <c r="F248" s="105"/>
      <c r="G248" s="105"/>
      <c r="H248" s="126">
        <f>1032488.92*4.4103</f>
        <v>4553585.8838760005</v>
      </c>
      <c r="I248" s="127"/>
      <c r="J248" s="126"/>
      <c r="K248" s="126"/>
      <c r="L248" s="127"/>
      <c r="M248" s="126">
        <f>H248</f>
        <v>4553585.8838760005</v>
      </c>
      <c r="N248" s="126">
        <f>M248</f>
        <v>4553585.8838760005</v>
      </c>
      <c r="O248" s="127"/>
      <c r="P248" s="126"/>
      <c r="Q248" s="126">
        <f>N248</f>
        <v>4553585.8838760005</v>
      </c>
      <c r="R248" s="127"/>
      <c r="S248" s="126">
        <f>Q248</f>
        <v>4553585.8838760005</v>
      </c>
      <c r="T248" s="107"/>
      <c r="U248" s="106"/>
    </row>
    <row r="249" spans="1:21" s="56" customFormat="1" outlineLevel="1" x14ac:dyDescent="0.2">
      <c r="A249" s="111" t="s">
        <v>76</v>
      </c>
      <c r="B249" s="110"/>
      <c r="C249" s="110"/>
      <c r="D249" s="110"/>
      <c r="E249" s="104"/>
      <c r="F249" s="105"/>
      <c r="G249" s="105"/>
      <c r="H249" s="126"/>
      <c r="I249" s="127"/>
      <c r="J249" s="126"/>
      <c r="K249" s="126"/>
      <c r="L249" s="127"/>
      <c r="M249" s="126"/>
      <c r="N249" s="126"/>
      <c r="O249" s="127"/>
      <c r="P249" s="126"/>
      <c r="Q249" s="126"/>
      <c r="R249" s="127"/>
      <c r="S249" s="126"/>
      <c r="T249" s="107"/>
      <c r="U249" s="106"/>
    </row>
    <row r="250" spans="1:21" s="56" customFormat="1" outlineLevel="1" x14ac:dyDescent="0.2">
      <c r="A250" s="111" t="s">
        <v>77</v>
      </c>
      <c r="B250" s="110"/>
      <c r="C250" s="110"/>
      <c r="D250" s="110"/>
      <c r="E250" s="104"/>
      <c r="F250" s="105"/>
      <c r="G250" s="105"/>
      <c r="H250" s="126"/>
      <c r="I250" s="127"/>
      <c r="J250" s="126"/>
      <c r="K250" s="126"/>
      <c r="L250" s="127"/>
      <c r="M250" s="126"/>
      <c r="N250" s="126"/>
      <c r="O250" s="127"/>
      <c r="P250" s="126"/>
      <c r="Q250" s="126"/>
      <c r="R250" s="127"/>
      <c r="S250" s="126"/>
      <c r="T250" s="107"/>
      <c r="U250" s="106"/>
    </row>
    <row r="251" spans="1:21" s="56" customFormat="1" outlineLevel="1" x14ac:dyDescent="0.2">
      <c r="A251" s="111" t="s">
        <v>78</v>
      </c>
      <c r="B251" s="110"/>
      <c r="C251" s="110"/>
      <c r="D251" s="110"/>
      <c r="E251" s="104"/>
      <c r="F251" s="105"/>
      <c r="G251" s="105"/>
      <c r="H251" s="126"/>
      <c r="I251" s="127"/>
      <c r="J251" s="126"/>
      <c r="K251" s="126"/>
      <c r="L251" s="127"/>
      <c r="M251" s="126"/>
      <c r="N251" s="126"/>
      <c r="O251" s="127"/>
      <c r="P251" s="126"/>
      <c r="Q251" s="126"/>
      <c r="R251" s="127"/>
      <c r="S251" s="126"/>
      <c r="T251" s="107"/>
      <c r="U251" s="106"/>
    </row>
    <row r="252" spans="1:21" s="56" customFormat="1" outlineLevel="1" x14ac:dyDescent="0.2">
      <c r="A252" s="111" t="s">
        <v>266</v>
      </c>
      <c r="B252" s="110"/>
      <c r="C252" s="110"/>
      <c r="D252" s="110"/>
      <c r="E252" s="104"/>
      <c r="F252" s="105"/>
      <c r="G252" s="105"/>
      <c r="H252" s="126">
        <f>1032488.92*4.4103</f>
        <v>4553585.8838760005</v>
      </c>
      <c r="I252" s="127"/>
      <c r="J252" s="127"/>
      <c r="K252" s="127"/>
      <c r="L252" s="127"/>
      <c r="M252" s="126">
        <f>H252</f>
        <v>4553585.8838760005</v>
      </c>
      <c r="N252" s="126">
        <f>M252</f>
        <v>4553585.8838760005</v>
      </c>
      <c r="O252" s="127"/>
      <c r="P252" s="127"/>
      <c r="Q252" s="126">
        <f>N252</f>
        <v>4553585.8838760005</v>
      </c>
      <c r="R252" s="127"/>
      <c r="S252" s="126">
        <f>Q252</f>
        <v>4553585.8838760005</v>
      </c>
      <c r="T252" s="107"/>
      <c r="U252" s="107"/>
    </row>
    <row r="253" spans="1:21" s="56" customFormat="1" x14ac:dyDescent="0.2">
      <c r="A253" s="109" t="s">
        <v>79</v>
      </c>
      <c r="B253" s="110"/>
      <c r="C253" s="110"/>
      <c r="D253" s="110"/>
      <c r="E253" s="104"/>
      <c r="F253" s="105"/>
      <c r="G253" s="105"/>
      <c r="H253" s="126"/>
      <c r="I253" s="127"/>
      <c r="J253" s="126"/>
      <c r="K253" s="126"/>
      <c r="L253" s="127"/>
      <c r="M253" s="126"/>
      <c r="N253" s="126"/>
      <c r="O253" s="127"/>
      <c r="P253" s="126"/>
      <c r="Q253" s="126"/>
      <c r="R253" s="127"/>
      <c r="S253" s="126"/>
      <c r="T253" s="107"/>
      <c r="U253" s="106"/>
    </row>
    <row r="254" spans="1:21" s="56" customFormat="1" x14ac:dyDescent="0.2">
      <c r="A254" s="109" t="s">
        <v>80</v>
      </c>
      <c r="B254" s="110"/>
      <c r="C254" s="110"/>
      <c r="D254" s="110"/>
      <c r="E254" s="104"/>
      <c r="F254" s="105"/>
      <c r="G254" s="105"/>
      <c r="H254" s="126"/>
      <c r="I254" s="127"/>
      <c r="J254" s="126"/>
      <c r="K254" s="126"/>
      <c r="L254" s="127"/>
      <c r="M254" s="126"/>
      <c r="N254" s="126"/>
      <c r="O254" s="127"/>
      <c r="P254" s="126"/>
      <c r="Q254" s="126"/>
      <c r="R254" s="127"/>
      <c r="S254" s="126"/>
      <c r="T254" s="107"/>
      <c r="U254" s="106"/>
    </row>
    <row r="255" spans="1:21" s="56" customFormat="1" x14ac:dyDescent="0.2">
      <c r="A255" s="109" t="s">
        <v>81</v>
      </c>
      <c r="B255" s="110"/>
      <c r="C255" s="110"/>
      <c r="D255" s="110"/>
      <c r="E255" s="104"/>
      <c r="F255" s="105"/>
      <c r="G255" s="105"/>
      <c r="H255" s="126">
        <f>1032488.92*4.4103</f>
        <v>4553585.8838760005</v>
      </c>
      <c r="I255" s="127"/>
      <c r="J255" s="126"/>
      <c r="K255" s="126"/>
      <c r="L255" s="127"/>
      <c r="M255" s="126">
        <f>H255</f>
        <v>4553585.8838760005</v>
      </c>
      <c r="N255" s="126">
        <f>M255</f>
        <v>4553585.8838760005</v>
      </c>
      <c r="O255" s="127"/>
      <c r="P255" s="126"/>
      <c r="Q255" s="126">
        <f>N255</f>
        <v>4553585.8838760005</v>
      </c>
      <c r="R255" s="127"/>
      <c r="S255" s="126">
        <f>Q255</f>
        <v>4553585.8838760005</v>
      </c>
      <c r="T255" s="107"/>
      <c r="U255" s="106"/>
    </row>
    <row r="256" spans="1:21" s="56" customFormat="1" x14ac:dyDescent="0.2">
      <c r="A256" s="109" t="s">
        <v>82</v>
      </c>
      <c r="B256" s="110"/>
      <c r="C256" s="110"/>
      <c r="D256" s="110"/>
      <c r="E256" s="104"/>
      <c r="F256" s="105"/>
      <c r="G256" s="105"/>
      <c r="H256" s="128">
        <f>1032488.92*4.4103</f>
        <v>4553585.8838760005</v>
      </c>
      <c r="I256" s="127"/>
      <c r="J256" s="128"/>
      <c r="K256" s="128"/>
      <c r="L256" s="127"/>
      <c r="M256" s="128">
        <f>H256</f>
        <v>4553585.8838760005</v>
      </c>
      <c r="N256" s="128">
        <f>M256</f>
        <v>4553585.8838760005</v>
      </c>
      <c r="O256" s="127"/>
      <c r="P256" s="128"/>
      <c r="Q256" s="128">
        <f>N256</f>
        <v>4553585.8838760005</v>
      </c>
      <c r="R256" s="127"/>
      <c r="S256" s="128">
        <f>Q256</f>
        <v>4553585.8838760005</v>
      </c>
      <c r="T256" s="107"/>
      <c r="U256" s="112"/>
    </row>
    <row r="257" spans="1:21" s="56" customFormat="1" ht="22.5" customHeight="1" x14ac:dyDescent="0.2">
      <c r="A257" s="96" t="s">
        <v>291</v>
      </c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</row>
    <row r="258" spans="1:21" s="56" customFormat="1" ht="89.25" x14ac:dyDescent="0.2">
      <c r="A258" s="113">
        <v>83</v>
      </c>
      <c r="B258" s="114" t="s">
        <v>292</v>
      </c>
      <c r="C258" s="115" t="s">
        <v>269</v>
      </c>
      <c r="D258" s="116" t="s">
        <v>255</v>
      </c>
      <c r="E258" s="117" t="s">
        <v>256</v>
      </c>
      <c r="F258" s="118">
        <v>255543.21</v>
      </c>
      <c r="G258" s="120">
        <v>1</v>
      </c>
      <c r="H258" s="119">
        <v>255543.21</v>
      </c>
      <c r="I258" s="107"/>
      <c r="J258" s="107"/>
      <c r="K258" s="107"/>
      <c r="L258" s="107"/>
      <c r="M258" s="107"/>
      <c r="N258" s="107"/>
      <c r="O258" s="119">
        <v>1</v>
      </c>
      <c r="P258" s="119">
        <v>255543.21</v>
      </c>
      <c r="Q258" s="119">
        <v>255543.21</v>
      </c>
      <c r="R258" s="119">
        <v>1</v>
      </c>
      <c r="S258" s="119">
        <v>255543.21</v>
      </c>
      <c r="T258" s="107"/>
      <c r="U258" s="107"/>
    </row>
    <row r="259" spans="1:21" s="56" customFormat="1" ht="89.25" x14ac:dyDescent="0.2">
      <c r="A259" s="113">
        <v>84</v>
      </c>
      <c r="B259" s="114" t="s">
        <v>293</v>
      </c>
      <c r="C259" s="115" t="s">
        <v>271</v>
      </c>
      <c r="D259" s="116" t="s">
        <v>255</v>
      </c>
      <c r="E259" s="117" t="s">
        <v>256</v>
      </c>
      <c r="F259" s="118">
        <v>211675.35</v>
      </c>
      <c r="G259" s="120">
        <v>6</v>
      </c>
      <c r="H259" s="119">
        <v>1270052.1000000001</v>
      </c>
      <c r="I259" s="107"/>
      <c r="J259" s="107"/>
      <c r="K259" s="107"/>
      <c r="L259" s="107"/>
      <c r="M259" s="107"/>
      <c r="N259" s="107"/>
      <c r="O259" s="119">
        <v>6</v>
      </c>
      <c r="P259" s="119">
        <v>1270052.1000000001</v>
      </c>
      <c r="Q259" s="119">
        <v>1270052.1000000001</v>
      </c>
      <c r="R259" s="119">
        <v>6</v>
      </c>
      <c r="S259" s="119">
        <v>1270052.1000000001</v>
      </c>
      <c r="T259" s="107"/>
      <c r="U259" s="107"/>
    </row>
    <row r="260" spans="1:21" s="56" customFormat="1" ht="89.25" x14ac:dyDescent="0.2">
      <c r="A260" s="113">
        <v>85</v>
      </c>
      <c r="B260" s="114" t="s">
        <v>294</v>
      </c>
      <c r="C260" s="115" t="s">
        <v>273</v>
      </c>
      <c r="D260" s="116" t="s">
        <v>255</v>
      </c>
      <c r="E260" s="117" t="s">
        <v>256</v>
      </c>
      <c r="F260" s="118">
        <v>438084.05</v>
      </c>
      <c r="G260" s="120">
        <v>2</v>
      </c>
      <c r="H260" s="119">
        <v>876168.1</v>
      </c>
      <c r="I260" s="107"/>
      <c r="J260" s="107"/>
      <c r="K260" s="107"/>
      <c r="L260" s="107"/>
      <c r="M260" s="107"/>
      <c r="N260" s="107"/>
      <c r="O260" s="119">
        <v>2</v>
      </c>
      <c r="P260" s="119">
        <v>876168.1</v>
      </c>
      <c r="Q260" s="119">
        <v>876168.1</v>
      </c>
      <c r="R260" s="119">
        <v>2</v>
      </c>
      <c r="S260" s="119">
        <v>876168.1</v>
      </c>
      <c r="T260" s="107"/>
      <c r="U260" s="107"/>
    </row>
    <row r="261" spans="1:21" s="56" customFormat="1" ht="89.25" x14ac:dyDescent="0.2">
      <c r="A261" s="113">
        <v>86</v>
      </c>
      <c r="B261" s="114" t="s">
        <v>295</v>
      </c>
      <c r="C261" s="115" t="s">
        <v>275</v>
      </c>
      <c r="D261" s="116" t="s">
        <v>255</v>
      </c>
      <c r="E261" s="117" t="s">
        <v>256</v>
      </c>
      <c r="F261" s="118">
        <v>181718.24</v>
      </c>
      <c r="G261" s="120">
        <v>1</v>
      </c>
      <c r="H261" s="119">
        <v>181718.24</v>
      </c>
      <c r="I261" s="107"/>
      <c r="J261" s="107"/>
      <c r="K261" s="107"/>
      <c r="L261" s="107"/>
      <c r="M261" s="107"/>
      <c r="N261" s="107"/>
      <c r="O261" s="119">
        <v>1</v>
      </c>
      <c r="P261" s="119">
        <v>181718.24</v>
      </c>
      <c r="Q261" s="119">
        <v>181718.24</v>
      </c>
      <c r="R261" s="119">
        <v>1</v>
      </c>
      <c r="S261" s="119">
        <v>181718.24</v>
      </c>
      <c r="T261" s="107"/>
      <c r="U261" s="107"/>
    </row>
    <row r="262" spans="1:21" s="56" customFormat="1" ht="89.25" x14ac:dyDescent="0.2">
      <c r="A262" s="113">
        <v>87</v>
      </c>
      <c r="B262" s="114" t="s">
        <v>296</v>
      </c>
      <c r="C262" s="115" t="s">
        <v>277</v>
      </c>
      <c r="D262" s="116" t="s">
        <v>255</v>
      </c>
      <c r="E262" s="117" t="s">
        <v>256</v>
      </c>
      <c r="F262" s="118">
        <v>19620.240000000002</v>
      </c>
      <c r="G262" s="120">
        <v>16</v>
      </c>
      <c r="H262" s="119">
        <v>313923.84000000003</v>
      </c>
      <c r="I262" s="107"/>
      <c r="J262" s="107"/>
      <c r="K262" s="107"/>
      <c r="L262" s="107"/>
      <c r="M262" s="107"/>
      <c r="N262" s="107"/>
      <c r="O262" s="119">
        <v>16</v>
      </c>
      <c r="P262" s="119">
        <v>313923.84000000003</v>
      </c>
      <c r="Q262" s="119">
        <v>313923.84000000003</v>
      </c>
      <c r="R262" s="119">
        <v>16</v>
      </c>
      <c r="S262" s="119">
        <v>313923.84000000003</v>
      </c>
      <c r="T262" s="107"/>
      <c r="U262" s="107"/>
    </row>
    <row r="263" spans="1:21" s="56" customFormat="1" ht="89.25" x14ac:dyDescent="0.2">
      <c r="A263" s="113">
        <v>88</v>
      </c>
      <c r="B263" s="114" t="s">
        <v>297</v>
      </c>
      <c r="C263" s="115" t="s">
        <v>279</v>
      </c>
      <c r="D263" s="116" t="s">
        <v>255</v>
      </c>
      <c r="E263" s="117" t="s">
        <v>256</v>
      </c>
      <c r="F263" s="118">
        <v>19620.240000000002</v>
      </c>
      <c r="G263" s="120">
        <v>30</v>
      </c>
      <c r="H263" s="119">
        <v>588607.19999999995</v>
      </c>
      <c r="I263" s="107"/>
      <c r="J263" s="107"/>
      <c r="K263" s="107"/>
      <c r="L263" s="107"/>
      <c r="M263" s="107"/>
      <c r="N263" s="107"/>
      <c r="O263" s="119">
        <v>30</v>
      </c>
      <c r="P263" s="119">
        <v>588607.19999999995</v>
      </c>
      <c r="Q263" s="119">
        <v>588607.19999999995</v>
      </c>
      <c r="R263" s="119">
        <v>30</v>
      </c>
      <c r="S263" s="119">
        <v>588607.19999999995</v>
      </c>
      <c r="T263" s="107"/>
      <c r="U263" s="107"/>
    </row>
    <row r="264" spans="1:21" s="56" customFormat="1" ht="89.25" x14ac:dyDescent="0.2">
      <c r="A264" s="113">
        <v>89</v>
      </c>
      <c r="B264" s="114" t="s">
        <v>298</v>
      </c>
      <c r="C264" s="115" t="s">
        <v>277</v>
      </c>
      <c r="D264" s="116" t="s">
        <v>255</v>
      </c>
      <c r="E264" s="117" t="s">
        <v>256</v>
      </c>
      <c r="F264" s="118">
        <v>17288.580000000002</v>
      </c>
      <c r="G264" s="120">
        <v>4</v>
      </c>
      <c r="H264" s="119">
        <v>69154.320000000007</v>
      </c>
      <c r="I264" s="107"/>
      <c r="J264" s="107"/>
      <c r="K264" s="107"/>
      <c r="L264" s="107"/>
      <c r="M264" s="107"/>
      <c r="N264" s="107"/>
      <c r="O264" s="119">
        <v>4</v>
      </c>
      <c r="P264" s="119">
        <v>69154.320000000007</v>
      </c>
      <c r="Q264" s="119">
        <v>69154.320000000007</v>
      </c>
      <c r="R264" s="119">
        <v>4</v>
      </c>
      <c r="S264" s="119">
        <v>69154.320000000007</v>
      </c>
      <c r="T264" s="107"/>
      <c r="U264" s="107"/>
    </row>
    <row r="265" spans="1:21" s="56" customFormat="1" ht="89.25" x14ac:dyDescent="0.2">
      <c r="A265" s="113">
        <v>90</v>
      </c>
      <c r="B265" s="114" t="s">
        <v>299</v>
      </c>
      <c r="C265" s="115" t="s">
        <v>279</v>
      </c>
      <c r="D265" s="116" t="s">
        <v>255</v>
      </c>
      <c r="E265" s="117" t="s">
        <v>256</v>
      </c>
      <c r="F265" s="118">
        <v>15200.89</v>
      </c>
      <c r="G265" s="120">
        <v>4</v>
      </c>
      <c r="H265" s="119">
        <v>60803.56</v>
      </c>
      <c r="I265" s="107"/>
      <c r="J265" s="107"/>
      <c r="K265" s="107"/>
      <c r="L265" s="107"/>
      <c r="M265" s="107"/>
      <c r="N265" s="107"/>
      <c r="O265" s="119">
        <v>4</v>
      </c>
      <c r="P265" s="119">
        <v>60803.56</v>
      </c>
      <c r="Q265" s="119">
        <v>60803.56</v>
      </c>
      <c r="R265" s="119">
        <v>4</v>
      </c>
      <c r="S265" s="119">
        <v>60803.56</v>
      </c>
      <c r="T265" s="107"/>
      <c r="U265" s="107"/>
    </row>
    <row r="266" spans="1:21" s="56" customFormat="1" ht="76.5" x14ac:dyDescent="0.2">
      <c r="A266" s="100">
        <v>91</v>
      </c>
      <c r="B266" s="101" t="s">
        <v>300</v>
      </c>
      <c r="C266" s="102" t="s">
        <v>285</v>
      </c>
      <c r="D266" s="103" t="s">
        <v>261</v>
      </c>
      <c r="E266" s="104" t="s">
        <v>286</v>
      </c>
      <c r="F266" s="105">
        <v>1335649.1000000001</v>
      </c>
      <c r="G266" s="108">
        <v>1</v>
      </c>
      <c r="H266" s="106">
        <v>1335649.1000000001</v>
      </c>
      <c r="I266" s="107"/>
      <c r="J266" s="107"/>
      <c r="K266" s="107"/>
      <c r="L266" s="107"/>
      <c r="M266" s="107"/>
      <c r="N266" s="107"/>
      <c r="O266" s="106">
        <v>1</v>
      </c>
      <c r="P266" s="106">
        <v>1335649.1000000001</v>
      </c>
      <c r="Q266" s="106">
        <v>1335649.1000000001</v>
      </c>
      <c r="R266" s="106">
        <v>1</v>
      </c>
      <c r="S266" s="106">
        <v>1335649.1000000001</v>
      </c>
      <c r="T266" s="107"/>
      <c r="U266" s="107"/>
    </row>
    <row r="267" spans="1:21" s="56" customFormat="1" ht="76.5" x14ac:dyDescent="0.2">
      <c r="A267" s="100">
        <v>92</v>
      </c>
      <c r="B267" s="101" t="s">
        <v>301</v>
      </c>
      <c r="C267" s="102" t="s">
        <v>288</v>
      </c>
      <c r="D267" s="103" t="s">
        <v>261</v>
      </c>
      <c r="E267" s="104" t="s">
        <v>256</v>
      </c>
      <c r="F267" s="105">
        <v>41256.36</v>
      </c>
      <c r="G267" s="108">
        <v>27</v>
      </c>
      <c r="H267" s="106">
        <v>1113921.72</v>
      </c>
      <c r="I267" s="107"/>
      <c r="J267" s="107"/>
      <c r="K267" s="107"/>
      <c r="L267" s="107"/>
      <c r="M267" s="107"/>
      <c r="N267" s="107"/>
      <c r="O267" s="106">
        <v>27</v>
      </c>
      <c r="P267" s="106">
        <v>1113921.72</v>
      </c>
      <c r="Q267" s="106">
        <v>1113921.72</v>
      </c>
      <c r="R267" s="106">
        <v>27</v>
      </c>
      <c r="S267" s="106">
        <v>1113921.72</v>
      </c>
      <c r="T267" s="107"/>
      <c r="U267" s="107"/>
    </row>
    <row r="268" spans="1:21" s="56" customFormat="1" x14ac:dyDescent="0.2">
      <c r="A268" s="109" t="s">
        <v>75</v>
      </c>
      <c r="B268" s="110"/>
      <c r="C268" s="110"/>
      <c r="D268" s="110"/>
      <c r="E268" s="104"/>
      <c r="F268" s="105"/>
      <c r="G268" s="105"/>
      <c r="H268" s="126">
        <f>2449570.82*4.4103</f>
        <v>10803342.187446</v>
      </c>
      <c r="I268" s="127"/>
      <c r="J268" s="126"/>
      <c r="K268" s="126"/>
      <c r="L268" s="127"/>
      <c r="M268" s="126"/>
      <c r="N268" s="126"/>
      <c r="O268" s="127"/>
      <c r="P268" s="126">
        <f>H268</f>
        <v>10803342.187446</v>
      </c>
      <c r="Q268" s="126">
        <f>P268</f>
        <v>10803342.187446</v>
      </c>
      <c r="R268" s="127"/>
      <c r="S268" s="126">
        <f>Q268</f>
        <v>10803342.187446</v>
      </c>
      <c r="T268" s="107"/>
      <c r="U268" s="106"/>
    </row>
    <row r="269" spans="1:21" s="56" customFormat="1" outlineLevel="1" x14ac:dyDescent="0.2">
      <c r="A269" s="111" t="s">
        <v>76</v>
      </c>
      <c r="B269" s="110"/>
      <c r="C269" s="110"/>
      <c r="D269" s="110"/>
      <c r="E269" s="104"/>
      <c r="F269" s="105"/>
      <c r="G269" s="105"/>
      <c r="H269" s="126"/>
      <c r="I269" s="127"/>
      <c r="J269" s="126"/>
      <c r="K269" s="126"/>
      <c r="L269" s="127"/>
      <c r="M269" s="126"/>
      <c r="N269" s="126"/>
      <c r="O269" s="127"/>
      <c r="P269" s="126"/>
      <c r="Q269" s="126"/>
      <c r="R269" s="127"/>
      <c r="S269" s="126"/>
      <c r="T269" s="107"/>
      <c r="U269" s="106"/>
    </row>
    <row r="270" spans="1:21" s="56" customFormat="1" outlineLevel="1" x14ac:dyDescent="0.2">
      <c r="A270" s="111" t="s">
        <v>77</v>
      </c>
      <c r="B270" s="110"/>
      <c r="C270" s="110"/>
      <c r="D270" s="110"/>
      <c r="E270" s="104"/>
      <c r="F270" s="105"/>
      <c r="G270" s="105"/>
      <c r="H270" s="126"/>
      <c r="I270" s="127"/>
      <c r="J270" s="126"/>
      <c r="K270" s="126"/>
      <c r="L270" s="127"/>
      <c r="M270" s="126"/>
      <c r="N270" s="126"/>
      <c r="O270" s="127"/>
      <c r="P270" s="126"/>
      <c r="Q270" s="126"/>
      <c r="R270" s="127"/>
      <c r="S270" s="126"/>
      <c r="T270" s="107"/>
      <c r="U270" s="106"/>
    </row>
    <row r="271" spans="1:21" s="56" customFormat="1" outlineLevel="1" x14ac:dyDescent="0.2">
      <c r="A271" s="111" t="s">
        <v>78</v>
      </c>
      <c r="B271" s="110"/>
      <c r="C271" s="110"/>
      <c r="D271" s="110"/>
      <c r="E271" s="104"/>
      <c r="F271" s="105"/>
      <c r="G271" s="105"/>
      <c r="H271" s="126"/>
      <c r="I271" s="127"/>
      <c r="J271" s="126"/>
      <c r="K271" s="126"/>
      <c r="L271" s="127"/>
      <c r="M271" s="126"/>
      <c r="N271" s="126"/>
      <c r="O271" s="127"/>
      <c r="P271" s="126"/>
      <c r="Q271" s="126"/>
      <c r="R271" s="127"/>
      <c r="S271" s="126"/>
      <c r="T271" s="107"/>
      <c r="U271" s="106"/>
    </row>
    <row r="272" spans="1:21" s="56" customFormat="1" outlineLevel="1" x14ac:dyDescent="0.2">
      <c r="A272" s="111" t="s">
        <v>266</v>
      </c>
      <c r="B272" s="110"/>
      <c r="C272" s="110"/>
      <c r="D272" s="110"/>
      <c r="E272" s="104"/>
      <c r="F272" s="105"/>
      <c r="G272" s="105"/>
      <c r="H272" s="126">
        <f>2449570.82*4.4103</f>
        <v>10803342.187446</v>
      </c>
      <c r="I272" s="127"/>
      <c r="J272" s="127"/>
      <c r="K272" s="127"/>
      <c r="L272" s="127"/>
      <c r="M272" s="127"/>
      <c r="N272" s="127"/>
      <c r="O272" s="127"/>
      <c r="P272" s="126">
        <f>H272</f>
        <v>10803342.187446</v>
      </c>
      <c r="Q272" s="126">
        <f>P272</f>
        <v>10803342.187446</v>
      </c>
      <c r="R272" s="127"/>
      <c r="S272" s="126">
        <f>Q272</f>
        <v>10803342.187446</v>
      </c>
      <c r="T272" s="107"/>
      <c r="U272" s="107"/>
    </row>
    <row r="273" spans="1:21" s="56" customFormat="1" x14ac:dyDescent="0.2">
      <c r="A273" s="109" t="s">
        <v>79</v>
      </c>
      <c r="B273" s="110"/>
      <c r="C273" s="110"/>
      <c r="D273" s="110"/>
      <c r="E273" s="104"/>
      <c r="F273" s="105"/>
      <c r="G273" s="105"/>
      <c r="H273" s="126"/>
      <c r="I273" s="127"/>
      <c r="J273" s="126"/>
      <c r="K273" s="126"/>
      <c r="L273" s="127"/>
      <c r="M273" s="126"/>
      <c r="N273" s="126"/>
      <c r="O273" s="127"/>
      <c r="P273" s="126"/>
      <c r="Q273" s="126"/>
      <c r="R273" s="127"/>
      <c r="S273" s="126"/>
      <c r="T273" s="107"/>
      <c r="U273" s="106"/>
    </row>
    <row r="274" spans="1:21" s="56" customFormat="1" x14ac:dyDescent="0.2">
      <c r="A274" s="109" t="s">
        <v>80</v>
      </c>
      <c r="B274" s="110"/>
      <c r="C274" s="110"/>
      <c r="D274" s="110"/>
      <c r="E274" s="104"/>
      <c r="F274" s="105"/>
      <c r="G274" s="105"/>
      <c r="H274" s="126"/>
      <c r="I274" s="127"/>
      <c r="J274" s="126"/>
      <c r="K274" s="126"/>
      <c r="L274" s="127"/>
      <c r="M274" s="126"/>
      <c r="N274" s="126"/>
      <c r="O274" s="127"/>
      <c r="P274" s="126"/>
      <c r="Q274" s="126"/>
      <c r="R274" s="127"/>
      <c r="S274" s="126"/>
      <c r="T274" s="107"/>
      <c r="U274" s="106"/>
    </row>
    <row r="275" spans="1:21" s="56" customFormat="1" x14ac:dyDescent="0.2">
      <c r="A275" s="109" t="s">
        <v>81</v>
      </c>
      <c r="B275" s="110"/>
      <c r="C275" s="110"/>
      <c r="D275" s="110"/>
      <c r="E275" s="104"/>
      <c r="F275" s="105"/>
      <c r="G275" s="105"/>
      <c r="H275" s="126">
        <f>2449570.82*4.4103</f>
        <v>10803342.187446</v>
      </c>
      <c r="I275" s="127"/>
      <c r="J275" s="126"/>
      <c r="K275" s="126"/>
      <c r="L275" s="127"/>
      <c r="M275" s="126"/>
      <c r="N275" s="126"/>
      <c r="O275" s="127"/>
      <c r="P275" s="126">
        <f>H275</f>
        <v>10803342.187446</v>
      </c>
      <c r="Q275" s="126">
        <f>P275</f>
        <v>10803342.187446</v>
      </c>
      <c r="R275" s="127"/>
      <c r="S275" s="126">
        <f>Q275</f>
        <v>10803342.187446</v>
      </c>
      <c r="T275" s="107"/>
      <c r="U275" s="106"/>
    </row>
    <row r="276" spans="1:21" s="56" customFormat="1" x14ac:dyDescent="0.2">
      <c r="A276" s="109" t="s">
        <v>82</v>
      </c>
      <c r="B276" s="110"/>
      <c r="C276" s="110"/>
      <c r="D276" s="110"/>
      <c r="E276" s="104"/>
      <c r="F276" s="105"/>
      <c r="G276" s="105"/>
      <c r="H276" s="128">
        <f>2449570.82*4.4103</f>
        <v>10803342.187446</v>
      </c>
      <c r="I276" s="127"/>
      <c r="J276" s="128"/>
      <c r="K276" s="128"/>
      <c r="L276" s="127"/>
      <c r="M276" s="128"/>
      <c r="N276" s="128"/>
      <c r="O276" s="127"/>
      <c r="P276" s="128">
        <f>H276</f>
        <v>10803342.187446</v>
      </c>
      <c r="Q276" s="128">
        <f>P276</f>
        <v>10803342.187446</v>
      </c>
      <c r="R276" s="127"/>
      <c r="S276" s="128">
        <f>Q276</f>
        <v>10803342.187446</v>
      </c>
      <c r="T276" s="107"/>
      <c r="U276" s="112"/>
    </row>
    <row r="277" spans="1:21" s="56" customFormat="1" ht="22.5" customHeight="1" x14ac:dyDescent="0.2">
      <c r="A277" s="96" t="s">
        <v>302</v>
      </c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</row>
    <row r="278" spans="1:21" s="56" customFormat="1" ht="76.5" x14ac:dyDescent="0.2">
      <c r="A278" s="100">
        <v>93</v>
      </c>
      <c r="B278" s="101" t="s">
        <v>303</v>
      </c>
      <c r="C278" s="102" t="s">
        <v>283</v>
      </c>
      <c r="D278" s="103" t="s">
        <v>261</v>
      </c>
      <c r="E278" s="104" t="s">
        <v>256</v>
      </c>
      <c r="F278" s="105">
        <v>16971.52</v>
      </c>
      <c r="G278" s="108">
        <v>5</v>
      </c>
      <c r="H278" s="106">
        <v>84857.600000000006</v>
      </c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6">
        <v>5</v>
      </c>
      <c r="U278" s="106">
        <v>84857.600000000006</v>
      </c>
    </row>
    <row r="279" spans="1:21" s="56" customFormat="1" ht="76.5" x14ac:dyDescent="0.2">
      <c r="A279" s="100">
        <v>94</v>
      </c>
      <c r="B279" s="101" t="s">
        <v>304</v>
      </c>
      <c r="C279" s="102" t="s">
        <v>290</v>
      </c>
      <c r="D279" s="103" t="s">
        <v>261</v>
      </c>
      <c r="E279" s="104" t="s">
        <v>286</v>
      </c>
      <c r="F279" s="105">
        <v>256131.85</v>
      </c>
      <c r="G279" s="108">
        <v>1</v>
      </c>
      <c r="H279" s="106">
        <v>256131.85</v>
      </c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6">
        <v>1</v>
      </c>
      <c r="U279" s="106">
        <v>256131.85</v>
      </c>
    </row>
    <row r="280" spans="1:21" s="56" customFormat="1" x14ac:dyDescent="0.2">
      <c r="A280" s="109" t="s">
        <v>75</v>
      </c>
      <c r="B280" s="110"/>
      <c r="C280" s="110"/>
      <c r="D280" s="110"/>
      <c r="E280" s="104"/>
      <c r="F280" s="105"/>
      <c r="G280" s="105"/>
      <c r="H280" s="126">
        <f>340989.45*4.4103</f>
        <v>1503865.7713350002</v>
      </c>
      <c r="I280" s="127"/>
      <c r="J280" s="126"/>
      <c r="K280" s="126"/>
      <c r="L280" s="127"/>
      <c r="M280" s="126"/>
      <c r="N280" s="126"/>
      <c r="O280" s="127"/>
      <c r="P280" s="126"/>
      <c r="Q280" s="126"/>
      <c r="R280" s="127"/>
      <c r="S280" s="126"/>
      <c r="T280" s="127"/>
      <c r="U280" s="126">
        <f>H280</f>
        <v>1503865.7713350002</v>
      </c>
    </row>
    <row r="281" spans="1:21" s="56" customFormat="1" outlineLevel="1" x14ac:dyDescent="0.2">
      <c r="A281" s="111" t="s">
        <v>76</v>
      </c>
      <c r="B281" s="110"/>
      <c r="C281" s="110"/>
      <c r="D281" s="110"/>
      <c r="E281" s="104"/>
      <c r="F281" s="105"/>
      <c r="G281" s="105"/>
      <c r="H281" s="126"/>
      <c r="I281" s="127"/>
      <c r="J281" s="126"/>
      <c r="K281" s="126"/>
      <c r="L281" s="127"/>
      <c r="M281" s="126"/>
      <c r="N281" s="126"/>
      <c r="O281" s="127"/>
      <c r="P281" s="126"/>
      <c r="Q281" s="126"/>
      <c r="R281" s="127"/>
      <c r="S281" s="126"/>
      <c r="T281" s="127"/>
      <c r="U281" s="126"/>
    </row>
    <row r="282" spans="1:21" s="56" customFormat="1" outlineLevel="1" x14ac:dyDescent="0.2">
      <c r="A282" s="111" t="s">
        <v>77</v>
      </c>
      <c r="B282" s="110"/>
      <c r="C282" s="110"/>
      <c r="D282" s="110"/>
      <c r="E282" s="104"/>
      <c r="F282" s="105"/>
      <c r="G282" s="105"/>
      <c r="H282" s="126"/>
      <c r="I282" s="127"/>
      <c r="J282" s="126"/>
      <c r="K282" s="126"/>
      <c r="L282" s="127"/>
      <c r="M282" s="126"/>
      <c r="N282" s="126"/>
      <c r="O282" s="127"/>
      <c r="P282" s="126"/>
      <c r="Q282" s="126"/>
      <c r="R282" s="127"/>
      <c r="S282" s="126"/>
      <c r="T282" s="127"/>
      <c r="U282" s="126"/>
    </row>
    <row r="283" spans="1:21" s="56" customFormat="1" outlineLevel="1" x14ac:dyDescent="0.2">
      <c r="A283" s="111" t="s">
        <v>78</v>
      </c>
      <c r="B283" s="110"/>
      <c r="C283" s="110"/>
      <c r="D283" s="110"/>
      <c r="E283" s="104"/>
      <c r="F283" s="105"/>
      <c r="G283" s="105"/>
      <c r="H283" s="126"/>
      <c r="I283" s="127"/>
      <c r="J283" s="126"/>
      <c r="K283" s="126"/>
      <c r="L283" s="127"/>
      <c r="M283" s="126"/>
      <c r="N283" s="126"/>
      <c r="O283" s="127"/>
      <c r="P283" s="126"/>
      <c r="Q283" s="126"/>
      <c r="R283" s="127"/>
      <c r="S283" s="126"/>
      <c r="T283" s="127"/>
      <c r="U283" s="126"/>
    </row>
    <row r="284" spans="1:21" s="56" customFormat="1" outlineLevel="1" x14ac:dyDescent="0.2">
      <c r="A284" s="111" t="s">
        <v>266</v>
      </c>
      <c r="B284" s="110"/>
      <c r="C284" s="110"/>
      <c r="D284" s="110"/>
      <c r="E284" s="104"/>
      <c r="F284" s="105"/>
      <c r="G284" s="105"/>
      <c r="H284" s="126">
        <f>340989.45*4.4103</f>
        <v>1503865.7713350002</v>
      </c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6">
        <f>H284</f>
        <v>1503865.7713350002</v>
      </c>
    </row>
    <row r="285" spans="1:21" s="56" customFormat="1" x14ac:dyDescent="0.2">
      <c r="A285" s="109" t="s">
        <v>79</v>
      </c>
      <c r="B285" s="110"/>
      <c r="C285" s="110"/>
      <c r="D285" s="110"/>
      <c r="E285" s="104"/>
      <c r="F285" s="105"/>
      <c r="G285" s="105"/>
      <c r="H285" s="126"/>
      <c r="I285" s="127"/>
      <c r="J285" s="126"/>
      <c r="K285" s="126"/>
      <c r="L285" s="127"/>
      <c r="M285" s="126"/>
      <c r="N285" s="126"/>
      <c r="O285" s="127"/>
      <c r="P285" s="126"/>
      <c r="Q285" s="126"/>
      <c r="R285" s="127"/>
      <c r="S285" s="126"/>
      <c r="T285" s="127"/>
      <c r="U285" s="126"/>
    </row>
    <row r="286" spans="1:21" s="56" customFormat="1" x14ac:dyDescent="0.2">
      <c r="A286" s="109" t="s">
        <v>80</v>
      </c>
      <c r="B286" s="110"/>
      <c r="C286" s="110"/>
      <c r="D286" s="110"/>
      <c r="E286" s="104"/>
      <c r="F286" s="105"/>
      <c r="G286" s="105"/>
      <c r="H286" s="126"/>
      <c r="I286" s="127"/>
      <c r="J286" s="126"/>
      <c r="K286" s="126"/>
      <c r="L286" s="127"/>
      <c r="M286" s="126"/>
      <c r="N286" s="126"/>
      <c r="O286" s="127"/>
      <c r="P286" s="126"/>
      <c r="Q286" s="126"/>
      <c r="R286" s="127"/>
      <c r="S286" s="126"/>
      <c r="T286" s="127"/>
      <c r="U286" s="126"/>
    </row>
    <row r="287" spans="1:21" s="56" customFormat="1" x14ac:dyDescent="0.2">
      <c r="A287" s="109" t="s">
        <v>81</v>
      </c>
      <c r="B287" s="110"/>
      <c r="C287" s="110"/>
      <c r="D287" s="110"/>
      <c r="E287" s="104"/>
      <c r="F287" s="105"/>
      <c r="G287" s="105"/>
      <c r="H287" s="126">
        <f>340989.45*4.4103</f>
        <v>1503865.7713350002</v>
      </c>
      <c r="I287" s="127"/>
      <c r="J287" s="126"/>
      <c r="K287" s="126"/>
      <c r="L287" s="127"/>
      <c r="M287" s="126"/>
      <c r="N287" s="126"/>
      <c r="O287" s="127"/>
      <c r="P287" s="126"/>
      <c r="Q287" s="126"/>
      <c r="R287" s="127"/>
      <c r="S287" s="126"/>
      <c r="T287" s="127"/>
      <c r="U287" s="126">
        <f>H287</f>
        <v>1503865.7713350002</v>
      </c>
    </row>
    <row r="288" spans="1:21" s="56" customFormat="1" x14ac:dyDescent="0.2">
      <c r="A288" s="109" t="s">
        <v>82</v>
      </c>
      <c r="B288" s="110"/>
      <c r="C288" s="110"/>
      <c r="D288" s="110"/>
      <c r="E288" s="104"/>
      <c r="F288" s="105"/>
      <c r="G288" s="105"/>
      <c r="H288" s="128">
        <f>340989.45*4.4103</f>
        <v>1503865.7713350002</v>
      </c>
      <c r="I288" s="127"/>
      <c r="J288" s="128"/>
      <c r="K288" s="128"/>
      <c r="L288" s="127"/>
      <c r="M288" s="128"/>
      <c r="N288" s="128"/>
      <c r="O288" s="127"/>
      <c r="P288" s="128"/>
      <c r="Q288" s="128"/>
      <c r="R288" s="127"/>
      <c r="S288" s="128"/>
      <c r="T288" s="127"/>
      <c r="U288" s="128">
        <f>H288</f>
        <v>1503865.7713350002</v>
      </c>
    </row>
    <row r="289" spans="1:21" s="56" customFormat="1" ht="22.5" customHeight="1" x14ac:dyDescent="0.2">
      <c r="A289" s="96" t="s">
        <v>305</v>
      </c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</row>
    <row r="290" spans="1:21" s="56" customFormat="1" ht="19.149999999999999" customHeight="1" x14ac:dyDescent="0.2">
      <c r="A290" s="98" t="s">
        <v>306</v>
      </c>
      <c r="B290" s="99"/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</row>
    <row r="291" spans="1:21" s="56" customFormat="1" ht="38.25" x14ac:dyDescent="0.2">
      <c r="A291" s="100">
        <v>95</v>
      </c>
      <c r="B291" s="101" t="s">
        <v>307</v>
      </c>
      <c r="C291" s="102" t="s">
        <v>308</v>
      </c>
      <c r="D291" s="103" t="s">
        <v>309</v>
      </c>
      <c r="E291" s="104" t="s">
        <v>310</v>
      </c>
      <c r="F291" s="105"/>
      <c r="G291" s="108">
        <v>2</v>
      </c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6">
        <v>2</v>
      </c>
      <c r="U291" s="107"/>
    </row>
    <row r="292" spans="1:21" s="56" customFormat="1" ht="76.5" x14ac:dyDescent="0.2">
      <c r="A292" s="100">
        <v>96</v>
      </c>
      <c r="B292" s="101" t="s">
        <v>311</v>
      </c>
      <c r="C292" s="102" t="s">
        <v>312</v>
      </c>
      <c r="D292" s="103" t="s">
        <v>261</v>
      </c>
      <c r="E292" s="104" t="s">
        <v>256</v>
      </c>
      <c r="F292" s="105">
        <v>50728.45</v>
      </c>
      <c r="G292" s="108">
        <v>2</v>
      </c>
      <c r="H292" s="106">
        <v>101456.9</v>
      </c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6">
        <v>2</v>
      </c>
      <c r="U292" s="106">
        <v>101456.9</v>
      </c>
    </row>
    <row r="293" spans="1:21" s="56" customFormat="1" x14ac:dyDescent="0.2">
      <c r="A293" s="109" t="s">
        <v>75</v>
      </c>
      <c r="B293" s="110"/>
      <c r="C293" s="110"/>
      <c r="D293" s="110"/>
      <c r="E293" s="104"/>
      <c r="F293" s="105"/>
      <c r="G293" s="105"/>
      <c r="H293" s="126">
        <f>101456.9*4.4103</f>
        <v>447455.36606999999</v>
      </c>
      <c r="I293" s="127"/>
      <c r="J293" s="126"/>
      <c r="K293" s="126"/>
      <c r="L293" s="127"/>
      <c r="M293" s="126"/>
      <c r="N293" s="126"/>
      <c r="O293" s="127"/>
      <c r="P293" s="126"/>
      <c r="Q293" s="126"/>
      <c r="R293" s="127"/>
      <c r="S293" s="126"/>
      <c r="T293" s="127"/>
      <c r="U293" s="126">
        <f>H293</f>
        <v>447455.36606999999</v>
      </c>
    </row>
    <row r="294" spans="1:21" s="56" customFormat="1" outlineLevel="1" x14ac:dyDescent="0.2">
      <c r="A294" s="111" t="s">
        <v>76</v>
      </c>
      <c r="B294" s="110"/>
      <c r="C294" s="110"/>
      <c r="D294" s="110"/>
      <c r="E294" s="104"/>
      <c r="F294" s="105"/>
      <c r="G294" s="105"/>
      <c r="H294" s="126"/>
      <c r="I294" s="127"/>
      <c r="J294" s="126"/>
      <c r="K294" s="126"/>
      <c r="L294" s="127"/>
      <c r="M294" s="126"/>
      <c r="N294" s="126"/>
      <c r="O294" s="127"/>
      <c r="P294" s="126"/>
      <c r="Q294" s="126"/>
      <c r="R294" s="127"/>
      <c r="S294" s="126"/>
      <c r="T294" s="127"/>
      <c r="U294" s="126"/>
    </row>
    <row r="295" spans="1:21" s="56" customFormat="1" outlineLevel="1" x14ac:dyDescent="0.2">
      <c r="A295" s="111" t="s">
        <v>77</v>
      </c>
      <c r="B295" s="110"/>
      <c r="C295" s="110"/>
      <c r="D295" s="110"/>
      <c r="E295" s="104"/>
      <c r="F295" s="105"/>
      <c r="G295" s="105"/>
      <c r="H295" s="126"/>
      <c r="I295" s="127"/>
      <c r="J295" s="126"/>
      <c r="K295" s="126"/>
      <c r="L295" s="127"/>
      <c r="M295" s="126"/>
      <c r="N295" s="126"/>
      <c r="O295" s="127"/>
      <c r="P295" s="126"/>
      <c r="Q295" s="126"/>
      <c r="R295" s="127"/>
      <c r="S295" s="126"/>
      <c r="T295" s="127"/>
      <c r="U295" s="126"/>
    </row>
    <row r="296" spans="1:21" s="56" customFormat="1" outlineLevel="1" x14ac:dyDescent="0.2">
      <c r="A296" s="111" t="s">
        <v>78</v>
      </c>
      <c r="B296" s="110"/>
      <c r="C296" s="110"/>
      <c r="D296" s="110"/>
      <c r="E296" s="104"/>
      <c r="F296" s="105"/>
      <c r="G296" s="105"/>
      <c r="H296" s="126"/>
      <c r="I296" s="127"/>
      <c r="J296" s="126"/>
      <c r="K296" s="126"/>
      <c r="L296" s="127"/>
      <c r="M296" s="126"/>
      <c r="N296" s="126"/>
      <c r="O296" s="127"/>
      <c r="P296" s="126"/>
      <c r="Q296" s="126"/>
      <c r="R296" s="127"/>
      <c r="S296" s="126"/>
      <c r="T296" s="127"/>
      <c r="U296" s="126"/>
    </row>
    <row r="297" spans="1:21" s="56" customFormat="1" outlineLevel="1" x14ac:dyDescent="0.2">
      <c r="A297" s="111" t="s">
        <v>266</v>
      </c>
      <c r="B297" s="110"/>
      <c r="C297" s="110"/>
      <c r="D297" s="110"/>
      <c r="E297" s="104"/>
      <c r="F297" s="105"/>
      <c r="G297" s="105"/>
      <c r="H297" s="126">
        <f>101456.9*4.4103</f>
        <v>447455.36606999999</v>
      </c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6">
        <f>H297</f>
        <v>447455.36606999999</v>
      </c>
    </row>
    <row r="298" spans="1:21" s="56" customFormat="1" x14ac:dyDescent="0.2">
      <c r="A298" s="109" t="s">
        <v>79</v>
      </c>
      <c r="B298" s="110"/>
      <c r="C298" s="110"/>
      <c r="D298" s="110"/>
      <c r="E298" s="104"/>
      <c r="F298" s="105"/>
      <c r="G298" s="105"/>
      <c r="H298" s="126"/>
      <c r="I298" s="127"/>
      <c r="J298" s="126"/>
      <c r="K298" s="126"/>
      <c r="L298" s="127"/>
      <c r="M298" s="126"/>
      <c r="N298" s="126"/>
      <c r="O298" s="127"/>
      <c r="P298" s="126"/>
      <c r="Q298" s="126"/>
      <c r="R298" s="127"/>
      <c r="S298" s="126"/>
      <c r="T298" s="127"/>
      <c r="U298" s="126"/>
    </row>
    <row r="299" spans="1:21" s="56" customFormat="1" x14ac:dyDescent="0.2">
      <c r="A299" s="109" t="s">
        <v>80</v>
      </c>
      <c r="B299" s="110"/>
      <c r="C299" s="110"/>
      <c r="D299" s="110"/>
      <c r="E299" s="104"/>
      <c r="F299" s="105"/>
      <c r="G299" s="105"/>
      <c r="H299" s="126"/>
      <c r="I299" s="127"/>
      <c r="J299" s="126"/>
      <c r="K299" s="126"/>
      <c r="L299" s="127"/>
      <c r="M299" s="126"/>
      <c r="N299" s="126"/>
      <c r="O299" s="127"/>
      <c r="P299" s="126"/>
      <c r="Q299" s="126"/>
      <c r="R299" s="127"/>
      <c r="S299" s="126"/>
      <c r="T299" s="127"/>
      <c r="U299" s="126"/>
    </row>
    <row r="300" spans="1:21" s="56" customFormat="1" x14ac:dyDescent="0.2">
      <c r="A300" s="109" t="s">
        <v>81</v>
      </c>
      <c r="B300" s="110"/>
      <c r="C300" s="110"/>
      <c r="D300" s="110"/>
      <c r="E300" s="104"/>
      <c r="F300" s="105"/>
      <c r="G300" s="105"/>
      <c r="H300" s="126">
        <f>101456.9*4.4103</f>
        <v>447455.36606999999</v>
      </c>
      <c r="I300" s="127"/>
      <c r="J300" s="126"/>
      <c r="K300" s="126"/>
      <c r="L300" s="127"/>
      <c r="M300" s="126"/>
      <c r="N300" s="126"/>
      <c r="O300" s="127"/>
      <c r="P300" s="126"/>
      <c r="Q300" s="126"/>
      <c r="R300" s="127"/>
      <c r="S300" s="126"/>
      <c r="T300" s="127"/>
      <c r="U300" s="126">
        <f>H300</f>
        <v>447455.36606999999</v>
      </c>
    </row>
    <row r="301" spans="1:21" s="56" customFormat="1" x14ac:dyDescent="0.2">
      <c r="A301" s="109" t="s">
        <v>82</v>
      </c>
      <c r="B301" s="110"/>
      <c r="C301" s="110"/>
      <c r="D301" s="110"/>
      <c r="E301" s="104"/>
      <c r="F301" s="105"/>
      <c r="G301" s="105"/>
      <c r="H301" s="126">
        <f>101456.9*4.4103</f>
        <v>447455.36606999999</v>
      </c>
      <c r="I301" s="127"/>
      <c r="J301" s="128"/>
      <c r="K301" s="128"/>
      <c r="L301" s="127"/>
      <c r="M301" s="128"/>
      <c r="N301" s="128"/>
      <c r="O301" s="127"/>
      <c r="P301" s="128"/>
      <c r="Q301" s="128"/>
      <c r="R301" s="127"/>
      <c r="S301" s="128"/>
      <c r="T301" s="127"/>
      <c r="U301" s="126">
        <f>H301</f>
        <v>447455.36606999999</v>
      </c>
    </row>
    <row r="302" spans="1:21" s="56" customFormat="1" ht="22.5" customHeight="1" x14ac:dyDescent="0.2">
      <c r="A302" s="96" t="s">
        <v>313</v>
      </c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</row>
    <row r="303" spans="1:21" s="56" customFormat="1" ht="19.149999999999999" customHeight="1" x14ac:dyDescent="0.2">
      <c r="A303" s="98" t="s">
        <v>198</v>
      </c>
      <c r="B303" s="99"/>
      <c r="C303" s="99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</row>
    <row r="304" spans="1:21" s="56" customFormat="1" ht="89.25" x14ac:dyDescent="0.2">
      <c r="A304" s="100">
        <v>97</v>
      </c>
      <c r="B304" s="101" t="s">
        <v>314</v>
      </c>
      <c r="C304" s="102" t="s">
        <v>315</v>
      </c>
      <c r="D304" s="103" t="s">
        <v>316</v>
      </c>
      <c r="E304" s="104" t="s">
        <v>256</v>
      </c>
      <c r="F304" s="105">
        <v>2045187.89</v>
      </c>
      <c r="G304" s="108">
        <v>1</v>
      </c>
      <c r="H304" s="106">
        <v>2045187.89</v>
      </c>
      <c r="I304" s="106">
        <v>1</v>
      </c>
      <c r="J304" s="106">
        <v>2045187.89</v>
      </c>
      <c r="K304" s="106">
        <v>2045187.89</v>
      </c>
      <c r="L304" s="107"/>
      <c r="M304" s="107"/>
      <c r="N304" s="107"/>
      <c r="O304" s="107"/>
      <c r="P304" s="107"/>
      <c r="Q304" s="107"/>
      <c r="R304" s="106">
        <v>1</v>
      </c>
      <c r="S304" s="106">
        <v>2045187.89</v>
      </c>
      <c r="T304" s="107"/>
      <c r="U304" s="107"/>
    </row>
    <row r="305" spans="1:21" s="56" customFormat="1" x14ac:dyDescent="0.2">
      <c r="A305" s="109" t="s">
        <v>75</v>
      </c>
      <c r="B305" s="110"/>
      <c r="C305" s="110"/>
      <c r="D305" s="110"/>
      <c r="E305" s="104"/>
      <c r="F305" s="105"/>
      <c r="G305" s="105"/>
      <c r="H305" s="126">
        <f>2045187.89*4.4103</f>
        <v>9019892.1512669995</v>
      </c>
      <c r="I305" s="127"/>
      <c r="J305" s="126">
        <f>H305</f>
        <v>9019892.1512669995</v>
      </c>
      <c r="K305" s="126">
        <f>J305</f>
        <v>9019892.1512669995</v>
      </c>
      <c r="L305" s="127"/>
      <c r="M305" s="126"/>
      <c r="N305" s="126">
        <f>K305</f>
        <v>9019892.1512669995</v>
      </c>
      <c r="O305" s="127"/>
      <c r="P305" s="126"/>
      <c r="Q305" s="126">
        <f>N305</f>
        <v>9019892.1512669995</v>
      </c>
      <c r="R305" s="127"/>
      <c r="S305" s="126">
        <f>Q305</f>
        <v>9019892.1512669995</v>
      </c>
      <c r="T305" s="107"/>
      <c r="U305" s="106"/>
    </row>
    <row r="306" spans="1:21" s="56" customFormat="1" outlineLevel="1" x14ac:dyDescent="0.2">
      <c r="A306" s="111" t="s">
        <v>76</v>
      </c>
      <c r="B306" s="110"/>
      <c r="C306" s="110"/>
      <c r="D306" s="110"/>
      <c r="E306" s="104"/>
      <c r="F306" s="105"/>
      <c r="G306" s="105"/>
      <c r="H306" s="126"/>
      <c r="I306" s="127"/>
      <c r="J306" s="126"/>
      <c r="K306" s="126"/>
      <c r="L306" s="127"/>
      <c r="M306" s="126"/>
      <c r="N306" s="126"/>
      <c r="O306" s="127"/>
      <c r="P306" s="126"/>
      <c r="Q306" s="126"/>
      <c r="R306" s="127"/>
      <c r="S306" s="126"/>
      <c r="T306" s="107"/>
      <c r="U306" s="106"/>
    </row>
    <row r="307" spans="1:21" s="56" customFormat="1" outlineLevel="1" x14ac:dyDescent="0.2">
      <c r="A307" s="111" t="s">
        <v>77</v>
      </c>
      <c r="B307" s="110"/>
      <c r="C307" s="110"/>
      <c r="D307" s="110"/>
      <c r="E307" s="104"/>
      <c r="F307" s="105"/>
      <c r="G307" s="105"/>
      <c r="H307" s="126"/>
      <c r="I307" s="127"/>
      <c r="J307" s="126"/>
      <c r="K307" s="126"/>
      <c r="L307" s="127"/>
      <c r="M307" s="126"/>
      <c r="N307" s="126"/>
      <c r="O307" s="127"/>
      <c r="P307" s="126"/>
      <c r="Q307" s="126"/>
      <c r="R307" s="127"/>
      <c r="S307" s="126"/>
      <c r="T307" s="107"/>
      <c r="U307" s="106"/>
    </row>
    <row r="308" spans="1:21" s="56" customFormat="1" outlineLevel="1" x14ac:dyDescent="0.2">
      <c r="A308" s="111" t="s">
        <v>78</v>
      </c>
      <c r="B308" s="110"/>
      <c r="C308" s="110"/>
      <c r="D308" s="110"/>
      <c r="E308" s="104"/>
      <c r="F308" s="105"/>
      <c r="G308" s="105"/>
      <c r="H308" s="126"/>
      <c r="I308" s="127"/>
      <c r="J308" s="126"/>
      <c r="K308" s="126"/>
      <c r="L308" s="127"/>
      <c r="M308" s="126"/>
      <c r="N308" s="126"/>
      <c r="O308" s="127"/>
      <c r="P308" s="126"/>
      <c r="Q308" s="126"/>
      <c r="R308" s="127"/>
      <c r="S308" s="126"/>
      <c r="T308" s="107"/>
      <c r="U308" s="106"/>
    </row>
    <row r="309" spans="1:21" s="56" customFormat="1" outlineLevel="1" x14ac:dyDescent="0.2">
      <c r="A309" s="111" t="s">
        <v>266</v>
      </c>
      <c r="B309" s="110"/>
      <c r="C309" s="110"/>
      <c r="D309" s="110"/>
      <c r="E309" s="104"/>
      <c r="F309" s="105"/>
      <c r="G309" s="105"/>
      <c r="H309" s="126">
        <f>2045187.89*4.4103</f>
        <v>9019892.1512669995</v>
      </c>
      <c r="I309" s="127"/>
      <c r="J309" s="126">
        <f>H309</f>
        <v>9019892.1512669995</v>
      </c>
      <c r="K309" s="126">
        <f>J309</f>
        <v>9019892.1512669995</v>
      </c>
      <c r="L309" s="127"/>
      <c r="M309" s="127"/>
      <c r="N309" s="126">
        <f>K309</f>
        <v>9019892.1512669995</v>
      </c>
      <c r="O309" s="127"/>
      <c r="P309" s="127"/>
      <c r="Q309" s="126">
        <f>N309</f>
        <v>9019892.1512669995</v>
      </c>
      <c r="R309" s="127"/>
      <c r="S309" s="126">
        <f>Q309</f>
        <v>9019892.1512669995</v>
      </c>
      <c r="T309" s="107"/>
      <c r="U309" s="107"/>
    </row>
    <row r="310" spans="1:21" s="56" customFormat="1" x14ac:dyDescent="0.2">
      <c r="A310" s="109" t="s">
        <v>79</v>
      </c>
      <c r="B310" s="110"/>
      <c r="C310" s="110"/>
      <c r="D310" s="110"/>
      <c r="E310" s="104"/>
      <c r="F310" s="105"/>
      <c r="G310" s="105"/>
      <c r="H310" s="126"/>
      <c r="I310" s="127"/>
      <c r="J310" s="126"/>
      <c r="K310" s="126"/>
      <c r="L310" s="127"/>
      <c r="M310" s="126"/>
      <c r="N310" s="126"/>
      <c r="O310" s="127"/>
      <c r="P310" s="126"/>
      <c r="Q310" s="126"/>
      <c r="R310" s="127"/>
      <c r="S310" s="126"/>
      <c r="T310" s="107"/>
      <c r="U310" s="106"/>
    </row>
    <row r="311" spans="1:21" s="56" customFormat="1" x14ac:dyDescent="0.2">
      <c r="A311" s="109" t="s">
        <v>80</v>
      </c>
      <c r="B311" s="110"/>
      <c r="C311" s="110"/>
      <c r="D311" s="110"/>
      <c r="E311" s="104"/>
      <c r="F311" s="105"/>
      <c r="G311" s="105"/>
      <c r="H311" s="126"/>
      <c r="I311" s="127"/>
      <c r="J311" s="126"/>
      <c r="K311" s="126"/>
      <c r="L311" s="127"/>
      <c r="M311" s="126"/>
      <c r="N311" s="126"/>
      <c r="O311" s="127"/>
      <c r="P311" s="126"/>
      <c r="Q311" s="126"/>
      <c r="R311" s="127"/>
      <c r="S311" s="126"/>
      <c r="T311" s="107"/>
      <c r="U311" s="106"/>
    </row>
    <row r="312" spans="1:21" s="56" customFormat="1" x14ac:dyDescent="0.2">
      <c r="A312" s="109" t="s">
        <v>81</v>
      </c>
      <c r="B312" s="110"/>
      <c r="C312" s="110"/>
      <c r="D312" s="110"/>
      <c r="E312" s="104"/>
      <c r="F312" s="105"/>
      <c r="G312" s="105"/>
      <c r="H312" s="126">
        <f>2045187.89*4.4103</f>
        <v>9019892.1512669995</v>
      </c>
      <c r="I312" s="127"/>
      <c r="J312" s="126">
        <f>H312</f>
        <v>9019892.1512669995</v>
      </c>
      <c r="K312" s="126">
        <f>J312</f>
        <v>9019892.1512669995</v>
      </c>
      <c r="L312" s="127"/>
      <c r="M312" s="126"/>
      <c r="N312" s="126">
        <f>K312</f>
        <v>9019892.1512669995</v>
      </c>
      <c r="O312" s="127"/>
      <c r="P312" s="126"/>
      <c r="Q312" s="126">
        <f>N312</f>
        <v>9019892.1512669995</v>
      </c>
      <c r="R312" s="127"/>
      <c r="S312" s="126">
        <f>Q312</f>
        <v>9019892.1512669995</v>
      </c>
      <c r="T312" s="107"/>
      <c r="U312" s="106"/>
    </row>
    <row r="313" spans="1:21" s="56" customFormat="1" x14ac:dyDescent="0.2">
      <c r="A313" s="109" t="s">
        <v>82</v>
      </c>
      <c r="B313" s="110"/>
      <c r="C313" s="110"/>
      <c r="D313" s="110"/>
      <c r="E313" s="104"/>
      <c r="F313" s="105"/>
      <c r="G313" s="105"/>
      <c r="H313" s="128">
        <f>2045187.89*4.4103</f>
        <v>9019892.1512669995</v>
      </c>
      <c r="I313" s="127"/>
      <c r="J313" s="128">
        <f>H313</f>
        <v>9019892.1512669995</v>
      </c>
      <c r="K313" s="128">
        <f>J313</f>
        <v>9019892.1512669995</v>
      </c>
      <c r="L313" s="127"/>
      <c r="M313" s="128"/>
      <c r="N313" s="128">
        <f>K313</f>
        <v>9019892.1512669995</v>
      </c>
      <c r="O313" s="127"/>
      <c r="P313" s="128"/>
      <c r="Q313" s="128">
        <f>N313</f>
        <v>9019892.1512669995</v>
      </c>
      <c r="R313" s="127"/>
      <c r="S313" s="126">
        <f>Q313</f>
        <v>9019892.1512669995</v>
      </c>
      <c r="T313" s="107"/>
      <c r="U313" s="112"/>
    </row>
    <row r="314" spans="1:21" s="56" customFormat="1" ht="22.5" customHeight="1" x14ac:dyDescent="0.2">
      <c r="A314" s="96" t="s">
        <v>317</v>
      </c>
      <c r="B314" s="97"/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1:21" s="56" customFormat="1" ht="19.149999999999999" customHeight="1" x14ac:dyDescent="0.2">
      <c r="A315" s="98" t="s">
        <v>198</v>
      </c>
      <c r="B315" s="99"/>
      <c r="C315" s="99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</row>
    <row r="316" spans="1:21" s="56" customFormat="1" ht="76.5" x14ac:dyDescent="0.2">
      <c r="A316" s="100">
        <v>98</v>
      </c>
      <c r="B316" s="101" t="s">
        <v>318</v>
      </c>
      <c r="C316" s="102" t="s">
        <v>319</v>
      </c>
      <c r="D316" s="103" t="s">
        <v>261</v>
      </c>
      <c r="E316" s="104" t="s">
        <v>256</v>
      </c>
      <c r="F316" s="105">
        <v>1795582.21</v>
      </c>
      <c r="G316" s="108">
        <v>1</v>
      </c>
      <c r="H316" s="106">
        <v>1795582.21</v>
      </c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6">
        <v>1</v>
      </c>
      <c r="U316" s="106">
        <v>1795582.21</v>
      </c>
    </row>
    <row r="317" spans="1:21" s="56" customFormat="1" ht="140.25" x14ac:dyDescent="0.2">
      <c r="A317" s="100">
        <v>99</v>
      </c>
      <c r="B317" s="101" t="s">
        <v>320</v>
      </c>
      <c r="C317" s="102" t="s">
        <v>321</v>
      </c>
      <c r="D317" s="103" t="s">
        <v>261</v>
      </c>
      <c r="E317" s="104" t="s">
        <v>256</v>
      </c>
      <c r="F317" s="105">
        <v>532207.21</v>
      </c>
      <c r="G317" s="108">
        <v>1</v>
      </c>
      <c r="H317" s="106">
        <v>532207.21</v>
      </c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6">
        <v>1</v>
      </c>
      <c r="U317" s="106">
        <v>532207.21</v>
      </c>
    </row>
    <row r="318" spans="1:21" s="56" customFormat="1" ht="89.25" x14ac:dyDescent="0.2">
      <c r="A318" s="113">
        <v>100</v>
      </c>
      <c r="B318" s="114" t="s">
        <v>322</v>
      </c>
      <c r="C318" s="115" t="s">
        <v>277</v>
      </c>
      <c r="D318" s="116" t="s">
        <v>255</v>
      </c>
      <c r="E318" s="117" t="s">
        <v>256</v>
      </c>
      <c r="F318" s="118">
        <v>15200.89</v>
      </c>
      <c r="G318" s="120">
        <v>4</v>
      </c>
      <c r="H318" s="119">
        <v>60803.56</v>
      </c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19">
        <v>4</v>
      </c>
      <c r="U318" s="119">
        <v>60803.56</v>
      </c>
    </row>
    <row r="319" spans="1:21" s="56" customFormat="1" x14ac:dyDescent="0.2">
      <c r="A319" s="109" t="s">
        <v>75</v>
      </c>
      <c r="B319" s="110"/>
      <c r="C319" s="110"/>
      <c r="D319" s="110"/>
      <c r="E319" s="104"/>
      <c r="F319" s="105"/>
      <c r="G319" s="105"/>
      <c r="H319" s="106">
        <f>2327789.42*4.4103</f>
        <v>10266249.679026</v>
      </c>
      <c r="I319" s="107"/>
      <c r="J319" s="106"/>
      <c r="K319" s="106"/>
      <c r="L319" s="107"/>
      <c r="M319" s="106"/>
      <c r="N319" s="106"/>
      <c r="O319" s="107"/>
      <c r="P319" s="106"/>
      <c r="Q319" s="106"/>
      <c r="R319" s="107"/>
      <c r="S319" s="106"/>
      <c r="T319" s="107"/>
      <c r="U319" s="106">
        <f>H319</f>
        <v>10266249.679026</v>
      </c>
    </row>
    <row r="320" spans="1:21" s="56" customFormat="1" outlineLevel="1" x14ac:dyDescent="0.2">
      <c r="A320" s="111" t="s">
        <v>76</v>
      </c>
      <c r="B320" s="110"/>
      <c r="C320" s="110"/>
      <c r="D320" s="110"/>
      <c r="E320" s="104"/>
      <c r="F320" s="105"/>
      <c r="G320" s="105"/>
      <c r="H320" s="106"/>
      <c r="I320" s="107"/>
      <c r="J320" s="106"/>
      <c r="K320" s="106"/>
      <c r="L320" s="107"/>
      <c r="M320" s="106"/>
      <c r="N320" s="106"/>
      <c r="O320" s="107"/>
      <c r="P320" s="106"/>
      <c r="Q320" s="106"/>
      <c r="R320" s="107"/>
      <c r="S320" s="106"/>
      <c r="T320" s="107"/>
      <c r="U320" s="106"/>
    </row>
    <row r="321" spans="1:21" s="56" customFormat="1" outlineLevel="1" x14ac:dyDescent="0.2">
      <c r="A321" s="111" t="s">
        <v>77</v>
      </c>
      <c r="B321" s="110"/>
      <c r="C321" s="110"/>
      <c r="D321" s="110"/>
      <c r="E321" s="104"/>
      <c r="F321" s="105"/>
      <c r="G321" s="105"/>
      <c r="H321" s="106"/>
      <c r="I321" s="107"/>
      <c r="J321" s="106"/>
      <c r="K321" s="106"/>
      <c r="L321" s="107"/>
      <c r="M321" s="106"/>
      <c r="N321" s="106"/>
      <c r="O321" s="107"/>
      <c r="P321" s="106"/>
      <c r="Q321" s="106"/>
      <c r="R321" s="107"/>
      <c r="S321" s="106"/>
      <c r="T321" s="107"/>
      <c r="U321" s="106"/>
    </row>
    <row r="322" spans="1:21" s="56" customFormat="1" outlineLevel="1" x14ac:dyDescent="0.2">
      <c r="A322" s="111" t="s">
        <v>78</v>
      </c>
      <c r="B322" s="110"/>
      <c r="C322" s="110"/>
      <c r="D322" s="110"/>
      <c r="E322" s="104"/>
      <c r="F322" s="105"/>
      <c r="G322" s="105"/>
      <c r="H322" s="106"/>
      <c r="I322" s="107"/>
      <c r="J322" s="106"/>
      <c r="K322" s="106"/>
      <c r="L322" s="107"/>
      <c r="M322" s="106"/>
      <c r="N322" s="106"/>
      <c r="O322" s="107"/>
      <c r="P322" s="106"/>
      <c r="Q322" s="106"/>
      <c r="R322" s="107"/>
      <c r="S322" s="106"/>
      <c r="T322" s="107"/>
      <c r="U322" s="106"/>
    </row>
    <row r="323" spans="1:21" s="56" customFormat="1" outlineLevel="1" x14ac:dyDescent="0.2">
      <c r="A323" s="111" t="s">
        <v>266</v>
      </c>
      <c r="B323" s="110"/>
      <c r="C323" s="110"/>
      <c r="D323" s="110"/>
      <c r="E323" s="104"/>
      <c r="F323" s="105"/>
      <c r="G323" s="105"/>
      <c r="H323" s="106">
        <f>2327789.42*4.4103</f>
        <v>10266249.679026</v>
      </c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6">
        <f>H323</f>
        <v>10266249.679026</v>
      </c>
    </row>
    <row r="324" spans="1:21" s="56" customFormat="1" x14ac:dyDescent="0.2">
      <c r="A324" s="109" t="s">
        <v>79</v>
      </c>
      <c r="B324" s="110"/>
      <c r="C324" s="110"/>
      <c r="D324" s="110"/>
      <c r="E324" s="104"/>
      <c r="F324" s="105"/>
      <c r="G324" s="105"/>
      <c r="H324" s="106"/>
      <c r="I324" s="107"/>
      <c r="J324" s="106"/>
      <c r="K324" s="106"/>
      <c r="L324" s="107"/>
      <c r="M324" s="106"/>
      <c r="N324" s="106"/>
      <c r="O324" s="107"/>
      <c r="P324" s="106"/>
      <c r="Q324" s="106"/>
      <c r="R324" s="107"/>
      <c r="S324" s="106"/>
      <c r="T324" s="107"/>
      <c r="U324" s="106"/>
    </row>
    <row r="325" spans="1:21" s="56" customFormat="1" x14ac:dyDescent="0.2">
      <c r="A325" s="109" t="s">
        <v>80</v>
      </c>
      <c r="B325" s="110"/>
      <c r="C325" s="110"/>
      <c r="D325" s="110"/>
      <c r="E325" s="104"/>
      <c r="F325" s="105"/>
      <c r="G325" s="105"/>
      <c r="H325" s="106"/>
      <c r="I325" s="107"/>
      <c r="J325" s="106"/>
      <c r="K325" s="106"/>
      <c r="L325" s="107"/>
      <c r="M325" s="106"/>
      <c r="N325" s="106"/>
      <c r="O325" s="107"/>
      <c r="P325" s="106"/>
      <c r="Q325" s="106"/>
      <c r="R325" s="107"/>
      <c r="S325" s="106"/>
      <c r="T325" s="107"/>
      <c r="U325" s="106"/>
    </row>
    <row r="326" spans="1:21" s="56" customFormat="1" x14ac:dyDescent="0.2">
      <c r="A326" s="109" t="s">
        <v>81</v>
      </c>
      <c r="B326" s="110"/>
      <c r="C326" s="110"/>
      <c r="D326" s="110"/>
      <c r="E326" s="104"/>
      <c r="F326" s="105"/>
      <c r="G326" s="105"/>
      <c r="H326" s="106">
        <f>2327789.42*4.4103</f>
        <v>10266249.679026</v>
      </c>
      <c r="I326" s="107"/>
      <c r="J326" s="106"/>
      <c r="K326" s="106"/>
      <c r="L326" s="107"/>
      <c r="M326" s="106"/>
      <c r="N326" s="106"/>
      <c r="O326" s="107"/>
      <c r="P326" s="106"/>
      <c r="Q326" s="106"/>
      <c r="R326" s="107"/>
      <c r="S326" s="106"/>
      <c r="T326" s="107"/>
      <c r="U326" s="106">
        <f>H326</f>
        <v>10266249.679026</v>
      </c>
    </row>
    <row r="327" spans="1:21" s="56" customFormat="1" x14ac:dyDescent="0.2">
      <c r="A327" s="109" t="s">
        <v>82</v>
      </c>
      <c r="B327" s="110"/>
      <c r="C327" s="110"/>
      <c r="D327" s="110"/>
      <c r="E327" s="104"/>
      <c r="F327" s="105"/>
      <c r="G327" s="105"/>
      <c r="H327" s="112">
        <f>2327789.42*4.4103</f>
        <v>10266249.679026</v>
      </c>
      <c r="I327" s="107"/>
      <c r="J327" s="112"/>
      <c r="K327" s="112"/>
      <c r="L327" s="107"/>
      <c r="M327" s="112"/>
      <c r="N327" s="112"/>
      <c r="O327" s="107"/>
      <c r="P327" s="112"/>
      <c r="Q327" s="112"/>
      <c r="R327" s="107"/>
      <c r="S327" s="112"/>
      <c r="T327" s="107"/>
      <c r="U327" s="112">
        <f>H327</f>
        <v>10266249.679026</v>
      </c>
    </row>
    <row r="328" spans="1:21" s="56" customFormat="1" ht="22.5" customHeight="1" x14ac:dyDescent="0.2">
      <c r="A328" s="96" t="s">
        <v>323</v>
      </c>
      <c r="B328" s="97"/>
      <c r="C328" s="9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</row>
    <row r="329" spans="1:21" s="56" customFormat="1" ht="19.149999999999999" customHeight="1" x14ac:dyDescent="0.2">
      <c r="A329" s="98" t="s">
        <v>324</v>
      </c>
      <c r="B329" s="99"/>
      <c r="C329" s="99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</row>
    <row r="330" spans="1:21" s="56" customFormat="1" ht="76.5" x14ac:dyDescent="0.2">
      <c r="A330" s="100">
        <v>101</v>
      </c>
      <c r="B330" s="101" t="s">
        <v>325</v>
      </c>
      <c r="C330" s="102" t="s">
        <v>326</v>
      </c>
      <c r="D330" s="103" t="s">
        <v>261</v>
      </c>
      <c r="E330" s="104" t="s">
        <v>310</v>
      </c>
      <c r="F330" s="105">
        <v>6128.8</v>
      </c>
      <c r="G330" s="108">
        <v>8</v>
      </c>
      <c r="H330" s="106">
        <v>49030.400000000001</v>
      </c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6">
        <v>8</v>
      </c>
      <c r="U330" s="106">
        <v>49030.400000000001</v>
      </c>
    </row>
    <row r="331" spans="1:21" s="56" customFormat="1" ht="76.5" x14ac:dyDescent="0.2">
      <c r="A331" s="100">
        <v>102</v>
      </c>
      <c r="B331" s="101" t="s">
        <v>327</v>
      </c>
      <c r="C331" s="102" t="s">
        <v>328</v>
      </c>
      <c r="D331" s="103" t="s">
        <v>261</v>
      </c>
      <c r="E331" s="104" t="s">
        <v>310</v>
      </c>
      <c r="F331" s="105">
        <v>5287.07</v>
      </c>
      <c r="G331" s="108">
        <v>8</v>
      </c>
      <c r="H331" s="106">
        <v>42296.56</v>
      </c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6">
        <v>8</v>
      </c>
      <c r="U331" s="106">
        <v>42296.56</v>
      </c>
    </row>
    <row r="332" spans="1:21" s="56" customFormat="1" ht="76.5" x14ac:dyDescent="0.2">
      <c r="A332" s="100">
        <v>103</v>
      </c>
      <c r="B332" s="101" t="s">
        <v>329</v>
      </c>
      <c r="C332" s="102" t="s">
        <v>330</v>
      </c>
      <c r="D332" s="103" t="s">
        <v>261</v>
      </c>
      <c r="E332" s="104" t="s">
        <v>310</v>
      </c>
      <c r="F332" s="105">
        <v>7413.72</v>
      </c>
      <c r="G332" s="108">
        <v>2</v>
      </c>
      <c r="H332" s="106">
        <v>14827.44</v>
      </c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6">
        <v>2</v>
      </c>
      <c r="U332" s="106">
        <v>14827.44</v>
      </c>
    </row>
    <row r="333" spans="1:21" s="56" customFormat="1" ht="76.5" x14ac:dyDescent="0.2">
      <c r="A333" s="100">
        <v>104</v>
      </c>
      <c r="B333" s="101" t="s">
        <v>331</v>
      </c>
      <c r="C333" s="102" t="s">
        <v>332</v>
      </c>
      <c r="D333" s="103" t="s">
        <v>261</v>
      </c>
      <c r="E333" s="104" t="s">
        <v>310</v>
      </c>
      <c r="F333" s="105">
        <v>7413.71</v>
      </c>
      <c r="G333" s="108">
        <v>1</v>
      </c>
      <c r="H333" s="106">
        <v>7413.71</v>
      </c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6">
        <v>1</v>
      </c>
      <c r="U333" s="106">
        <v>7413.71</v>
      </c>
    </row>
    <row r="334" spans="1:21" s="56" customFormat="1" ht="76.5" x14ac:dyDescent="0.2">
      <c r="A334" s="100">
        <v>105</v>
      </c>
      <c r="B334" s="101" t="s">
        <v>333</v>
      </c>
      <c r="C334" s="102" t="s">
        <v>334</v>
      </c>
      <c r="D334" s="103" t="s">
        <v>261</v>
      </c>
      <c r="E334" s="104" t="s">
        <v>310</v>
      </c>
      <c r="F334" s="105">
        <v>6947.63</v>
      </c>
      <c r="G334" s="108">
        <v>4</v>
      </c>
      <c r="H334" s="106">
        <v>27790.52</v>
      </c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6">
        <v>4</v>
      </c>
      <c r="U334" s="106">
        <v>27790.52</v>
      </c>
    </row>
    <row r="335" spans="1:21" s="56" customFormat="1" x14ac:dyDescent="0.2">
      <c r="A335" s="109" t="s">
        <v>75</v>
      </c>
      <c r="B335" s="110"/>
      <c r="C335" s="110"/>
      <c r="D335" s="110"/>
      <c r="E335" s="104"/>
      <c r="F335" s="105"/>
      <c r="G335" s="105"/>
      <c r="H335" s="126">
        <f>141358.63*4.4103</f>
        <v>623433.9658890001</v>
      </c>
      <c r="I335" s="127"/>
      <c r="J335" s="126"/>
      <c r="K335" s="126"/>
      <c r="L335" s="127"/>
      <c r="M335" s="126"/>
      <c r="N335" s="126"/>
      <c r="O335" s="127"/>
      <c r="P335" s="126"/>
      <c r="Q335" s="126"/>
      <c r="R335" s="127"/>
      <c r="S335" s="126"/>
      <c r="T335" s="127"/>
      <c r="U335" s="126">
        <f>H335</f>
        <v>623433.9658890001</v>
      </c>
    </row>
    <row r="336" spans="1:21" s="56" customFormat="1" outlineLevel="1" x14ac:dyDescent="0.2">
      <c r="A336" s="111" t="s">
        <v>76</v>
      </c>
      <c r="B336" s="110"/>
      <c r="C336" s="110"/>
      <c r="D336" s="110"/>
      <c r="E336" s="104"/>
      <c r="F336" s="105"/>
      <c r="G336" s="105"/>
      <c r="H336" s="126"/>
      <c r="I336" s="127"/>
      <c r="J336" s="126"/>
      <c r="K336" s="126"/>
      <c r="L336" s="127"/>
      <c r="M336" s="126"/>
      <c r="N336" s="126"/>
      <c r="O336" s="127"/>
      <c r="P336" s="126"/>
      <c r="Q336" s="126"/>
      <c r="R336" s="127"/>
      <c r="S336" s="126"/>
      <c r="T336" s="127"/>
      <c r="U336" s="126"/>
    </row>
    <row r="337" spans="1:21" s="56" customFormat="1" outlineLevel="1" x14ac:dyDescent="0.2">
      <c r="A337" s="111" t="s">
        <v>77</v>
      </c>
      <c r="B337" s="110"/>
      <c r="C337" s="110"/>
      <c r="D337" s="110"/>
      <c r="E337" s="104"/>
      <c r="F337" s="105"/>
      <c r="G337" s="105"/>
      <c r="H337" s="126"/>
      <c r="I337" s="127"/>
      <c r="J337" s="126"/>
      <c r="K337" s="126"/>
      <c r="L337" s="127"/>
      <c r="M337" s="126"/>
      <c r="N337" s="126"/>
      <c r="O337" s="127"/>
      <c r="P337" s="126"/>
      <c r="Q337" s="126"/>
      <c r="R337" s="127"/>
      <c r="S337" s="126"/>
      <c r="T337" s="127"/>
      <c r="U337" s="126"/>
    </row>
    <row r="338" spans="1:21" s="56" customFormat="1" outlineLevel="1" x14ac:dyDescent="0.2">
      <c r="A338" s="111" t="s">
        <v>78</v>
      </c>
      <c r="B338" s="110"/>
      <c r="C338" s="110"/>
      <c r="D338" s="110"/>
      <c r="E338" s="104"/>
      <c r="F338" s="105"/>
      <c r="G338" s="105"/>
      <c r="H338" s="126"/>
      <c r="I338" s="127"/>
      <c r="J338" s="126"/>
      <c r="K338" s="126"/>
      <c r="L338" s="127"/>
      <c r="M338" s="126"/>
      <c r="N338" s="126"/>
      <c r="O338" s="127"/>
      <c r="P338" s="126"/>
      <c r="Q338" s="126"/>
      <c r="R338" s="127"/>
      <c r="S338" s="126"/>
      <c r="T338" s="127"/>
      <c r="U338" s="126"/>
    </row>
    <row r="339" spans="1:21" s="56" customFormat="1" outlineLevel="1" x14ac:dyDescent="0.2">
      <c r="A339" s="111" t="s">
        <v>266</v>
      </c>
      <c r="B339" s="110"/>
      <c r="C339" s="110"/>
      <c r="D339" s="110"/>
      <c r="E339" s="104"/>
      <c r="F339" s="105"/>
      <c r="G339" s="105"/>
      <c r="H339" s="126">
        <f>141358.63*4.4103</f>
        <v>623433.9658890001</v>
      </c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6">
        <f>H339</f>
        <v>623433.9658890001</v>
      </c>
    </row>
    <row r="340" spans="1:21" s="56" customFormat="1" x14ac:dyDescent="0.2">
      <c r="A340" s="109" t="s">
        <v>79</v>
      </c>
      <c r="B340" s="110"/>
      <c r="C340" s="110"/>
      <c r="D340" s="110"/>
      <c r="E340" s="104"/>
      <c r="F340" s="105"/>
      <c r="G340" s="105"/>
      <c r="H340" s="126"/>
      <c r="I340" s="127"/>
      <c r="J340" s="126"/>
      <c r="K340" s="126"/>
      <c r="L340" s="127"/>
      <c r="M340" s="126"/>
      <c r="N340" s="126"/>
      <c r="O340" s="127"/>
      <c r="P340" s="126"/>
      <c r="Q340" s="126"/>
      <c r="R340" s="127"/>
      <c r="S340" s="126"/>
      <c r="T340" s="127"/>
      <c r="U340" s="126"/>
    </row>
    <row r="341" spans="1:21" s="56" customFormat="1" x14ac:dyDescent="0.2">
      <c r="A341" s="109" t="s">
        <v>80</v>
      </c>
      <c r="B341" s="110"/>
      <c r="C341" s="110"/>
      <c r="D341" s="110"/>
      <c r="E341" s="104"/>
      <c r="F341" s="105"/>
      <c r="G341" s="105"/>
      <c r="H341" s="126"/>
      <c r="I341" s="127"/>
      <c r="J341" s="126"/>
      <c r="K341" s="126"/>
      <c r="L341" s="127"/>
      <c r="M341" s="126"/>
      <c r="N341" s="126"/>
      <c r="O341" s="127"/>
      <c r="P341" s="126"/>
      <c r="Q341" s="126"/>
      <c r="R341" s="127"/>
      <c r="S341" s="126"/>
      <c r="T341" s="127"/>
      <c r="U341" s="126"/>
    </row>
    <row r="342" spans="1:21" s="56" customFormat="1" x14ac:dyDescent="0.2">
      <c r="A342" s="109" t="s">
        <v>81</v>
      </c>
      <c r="B342" s="110"/>
      <c r="C342" s="110"/>
      <c r="D342" s="110"/>
      <c r="E342" s="104"/>
      <c r="F342" s="105"/>
      <c r="G342" s="105"/>
      <c r="H342" s="126">
        <f>141358.63*4.4103</f>
        <v>623433.9658890001</v>
      </c>
      <c r="I342" s="127"/>
      <c r="J342" s="126"/>
      <c r="K342" s="126"/>
      <c r="L342" s="127"/>
      <c r="M342" s="126"/>
      <c r="N342" s="126"/>
      <c r="O342" s="127"/>
      <c r="P342" s="126"/>
      <c r="Q342" s="126"/>
      <c r="R342" s="127"/>
      <c r="S342" s="126"/>
      <c r="T342" s="127"/>
      <c r="U342" s="126">
        <f>H342</f>
        <v>623433.9658890001</v>
      </c>
    </row>
    <row r="343" spans="1:21" s="56" customFormat="1" x14ac:dyDescent="0.2">
      <c r="A343" s="109" t="s">
        <v>82</v>
      </c>
      <c r="B343" s="110"/>
      <c r="C343" s="110"/>
      <c r="D343" s="110"/>
      <c r="E343" s="104"/>
      <c r="F343" s="105"/>
      <c r="G343" s="105"/>
      <c r="H343" s="128">
        <f>141358.63*4.4103</f>
        <v>623433.9658890001</v>
      </c>
      <c r="I343" s="127"/>
      <c r="J343" s="128"/>
      <c r="K343" s="128"/>
      <c r="L343" s="127"/>
      <c r="M343" s="128"/>
      <c r="N343" s="128"/>
      <c r="O343" s="127"/>
      <c r="P343" s="128"/>
      <c r="Q343" s="128"/>
      <c r="R343" s="127"/>
      <c r="S343" s="128"/>
      <c r="T343" s="127"/>
      <c r="U343" s="128">
        <f>H343</f>
        <v>623433.9658890001</v>
      </c>
    </row>
    <row r="344" spans="1:21" s="56" customFormat="1" ht="22.5" customHeight="1" x14ac:dyDescent="0.2">
      <c r="A344" s="96" t="s">
        <v>335</v>
      </c>
      <c r="B344" s="97"/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</row>
    <row r="345" spans="1:21" s="56" customFormat="1" ht="76.5" x14ac:dyDescent="0.2">
      <c r="A345" s="100">
        <v>106</v>
      </c>
      <c r="B345" s="101" t="s">
        <v>336</v>
      </c>
      <c r="C345" s="102" t="s">
        <v>273</v>
      </c>
      <c r="D345" s="103" t="s">
        <v>261</v>
      </c>
      <c r="E345" s="104" t="s">
        <v>256</v>
      </c>
      <c r="F345" s="105">
        <v>438084.05</v>
      </c>
      <c r="G345" s="108">
        <v>2</v>
      </c>
      <c r="H345" s="106">
        <v>876168.1</v>
      </c>
      <c r="I345" s="107"/>
      <c r="J345" s="107"/>
      <c r="K345" s="107"/>
      <c r="L345" s="107"/>
      <c r="M345" s="107"/>
      <c r="N345" s="107"/>
      <c r="O345" s="106">
        <v>2</v>
      </c>
      <c r="P345" s="106">
        <v>876168.1</v>
      </c>
      <c r="Q345" s="106">
        <v>876168.1</v>
      </c>
      <c r="R345" s="106">
        <v>2</v>
      </c>
      <c r="S345" s="106">
        <v>876168.1</v>
      </c>
      <c r="T345" s="107"/>
      <c r="U345" s="107"/>
    </row>
    <row r="346" spans="1:21" s="56" customFormat="1" ht="76.5" x14ac:dyDescent="0.2">
      <c r="A346" s="100">
        <v>107</v>
      </c>
      <c r="B346" s="101" t="s">
        <v>337</v>
      </c>
      <c r="C346" s="102" t="s">
        <v>275</v>
      </c>
      <c r="D346" s="103" t="s">
        <v>261</v>
      </c>
      <c r="E346" s="104" t="s">
        <v>256</v>
      </c>
      <c r="F346" s="105">
        <v>181718.24</v>
      </c>
      <c r="G346" s="108">
        <v>1</v>
      </c>
      <c r="H346" s="106">
        <v>181718.24</v>
      </c>
      <c r="I346" s="107"/>
      <c r="J346" s="107"/>
      <c r="K346" s="107"/>
      <c r="L346" s="107"/>
      <c r="M346" s="107"/>
      <c r="N346" s="107"/>
      <c r="O346" s="106">
        <v>1</v>
      </c>
      <c r="P346" s="106">
        <v>181718.24</v>
      </c>
      <c r="Q346" s="106">
        <v>181718.24</v>
      </c>
      <c r="R346" s="106">
        <v>1</v>
      </c>
      <c r="S346" s="106">
        <v>181718.24</v>
      </c>
      <c r="T346" s="107"/>
      <c r="U346" s="107"/>
    </row>
    <row r="347" spans="1:21" s="56" customFormat="1" x14ac:dyDescent="0.2">
      <c r="A347" s="109" t="s">
        <v>75</v>
      </c>
      <c r="B347" s="110"/>
      <c r="C347" s="110"/>
      <c r="D347" s="110"/>
      <c r="E347" s="104"/>
      <c r="F347" s="105"/>
      <c r="G347" s="105"/>
      <c r="H347" s="126">
        <f>1057886.34*4.4103</f>
        <v>4665596.1253020009</v>
      </c>
      <c r="I347" s="127"/>
      <c r="J347" s="126"/>
      <c r="K347" s="126"/>
      <c r="L347" s="127"/>
      <c r="M347" s="126"/>
      <c r="N347" s="126"/>
      <c r="O347" s="127"/>
      <c r="P347" s="126">
        <f>H347</f>
        <v>4665596.1253020009</v>
      </c>
      <c r="Q347" s="126">
        <f>P347</f>
        <v>4665596.1253020009</v>
      </c>
      <c r="R347" s="127"/>
      <c r="S347" s="126">
        <f>Q347</f>
        <v>4665596.1253020009</v>
      </c>
      <c r="T347" s="107"/>
      <c r="U347" s="106"/>
    </row>
    <row r="348" spans="1:21" s="56" customFormat="1" outlineLevel="1" x14ac:dyDescent="0.2">
      <c r="A348" s="111" t="s">
        <v>76</v>
      </c>
      <c r="B348" s="110"/>
      <c r="C348" s="110"/>
      <c r="D348" s="110"/>
      <c r="E348" s="104"/>
      <c r="F348" s="105"/>
      <c r="G348" s="105"/>
      <c r="H348" s="126"/>
      <c r="I348" s="127"/>
      <c r="J348" s="126"/>
      <c r="K348" s="126"/>
      <c r="L348" s="127"/>
      <c r="M348" s="126"/>
      <c r="N348" s="126"/>
      <c r="O348" s="127"/>
      <c r="P348" s="126"/>
      <c r="Q348" s="126"/>
      <c r="R348" s="127"/>
      <c r="S348" s="126"/>
      <c r="T348" s="107"/>
      <c r="U348" s="106"/>
    </row>
    <row r="349" spans="1:21" s="56" customFormat="1" outlineLevel="1" x14ac:dyDescent="0.2">
      <c r="A349" s="111" t="s">
        <v>77</v>
      </c>
      <c r="B349" s="110"/>
      <c r="C349" s="110"/>
      <c r="D349" s="110"/>
      <c r="E349" s="104"/>
      <c r="F349" s="105"/>
      <c r="G349" s="105"/>
      <c r="H349" s="126"/>
      <c r="I349" s="127"/>
      <c r="J349" s="126"/>
      <c r="K349" s="126"/>
      <c r="L349" s="127"/>
      <c r="M349" s="126"/>
      <c r="N349" s="126"/>
      <c r="O349" s="127"/>
      <c r="P349" s="126"/>
      <c r="Q349" s="126"/>
      <c r="R349" s="127"/>
      <c r="S349" s="126"/>
      <c r="T349" s="107"/>
      <c r="U349" s="106"/>
    </row>
    <row r="350" spans="1:21" s="56" customFormat="1" outlineLevel="1" x14ac:dyDescent="0.2">
      <c r="A350" s="111" t="s">
        <v>78</v>
      </c>
      <c r="B350" s="110"/>
      <c r="C350" s="110"/>
      <c r="D350" s="110"/>
      <c r="E350" s="104"/>
      <c r="F350" s="105"/>
      <c r="G350" s="105"/>
      <c r="H350" s="126"/>
      <c r="I350" s="127"/>
      <c r="J350" s="126"/>
      <c r="K350" s="126"/>
      <c r="L350" s="127"/>
      <c r="M350" s="126"/>
      <c r="N350" s="126"/>
      <c r="O350" s="127"/>
      <c r="P350" s="126"/>
      <c r="Q350" s="126"/>
      <c r="R350" s="127"/>
      <c r="S350" s="126"/>
      <c r="T350" s="107"/>
      <c r="U350" s="106"/>
    </row>
    <row r="351" spans="1:21" s="56" customFormat="1" outlineLevel="1" x14ac:dyDescent="0.2">
      <c r="A351" s="111" t="s">
        <v>266</v>
      </c>
      <c r="B351" s="110"/>
      <c r="C351" s="110"/>
      <c r="D351" s="110"/>
      <c r="E351" s="104"/>
      <c r="F351" s="105"/>
      <c r="G351" s="105"/>
      <c r="H351" s="126">
        <f>1057886.34*4.4103</f>
        <v>4665596.1253020009</v>
      </c>
      <c r="I351" s="127"/>
      <c r="J351" s="127"/>
      <c r="K351" s="127"/>
      <c r="L351" s="127"/>
      <c r="M351" s="127"/>
      <c r="N351" s="127"/>
      <c r="O351" s="127"/>
      <c r="P351" s="126">
        <f>H351</f>
        <v>4665596.1253020009</v>
      </c>
      <c r="Q351" s="126">
        <f>P351</f>
        <v>4665596.1253020009</v>
      </c>
      <c r="R351" s="127"/>
      <c r="S351" s="126">
        <f>Q351</f>
        <v>4665596.1253020009</v>
      </c>
      <c r="T351" s="107"/>
      <c r="U351" s="107"/>
    </row>
    <row r="352" spans="1:21" s="56" customFormat="1" x14ac:dyDescent="0.2">
      <c r="A352" s="109" t="s">
        <v>79</v>
      </c>
      <c r="B352" s="110"/>
      <c r="C352" s="110"/>
      <c r="D352" s="110"/>
      <c r="E352" s="104"/>
      <c r="F352" s="105"/>
      <c r="G352" s="105"/>
      <c r="H352" s="126"/>
      <c r="I352" s="127"/>
      <c r="J352" s="126"/>
      <c r="K352" s="126"/>
      <c r="L352" s="127"/>
      <c r="M352" s="126"/>
      <c r="N352" s="126"/>
      <c r="O352" s="127"/>
      <c r="P352" s="126"/>
      <c r="Q352" s="126"/>
      <c r="R352" s="127"/>
      <c r="S352" s="126"/>
      <c r="T352" s="107"/>
      <c r="U352" s="106"/>
    </row>
    <row r="353" spans="1:21" s="56" customFormat="1" x14ac:dyDescent="0.2">
      <c r="A353" s="109" t="s">
        <v>80</v>
      </c>
      <c r="B353" s="110"/>
      <c r="C353" s="110"/>
      <c r="D353" s="110"/>
      <c r="E353" s="104"/>
      <c r="F353" s="105"/>
      <c r="G353" s="105"/>
      <c r="H353" s="126"/>
      <c r="I353" s="127"/>
      <c r="J353" s="126"/>
      <c r="K353" s="126"/>
      <c r="L353" s="127"/>
      <c r="M353" s="126"/>
      <c r="N353" s="126"/>
      <c r="O353" s="127"/>
      <c r="P353" s="126"/>
      <c r="Q353" s="126"/>
      <c r="R353" s="127"/>
      <c r="S353" s="126"/>
      <c r="T353" s="107"/>
      <c r="U353" s="106"/>
    </row>
    <row r="354" spans="1:21" s="56" customFormat="1" x14ac:dyDescent="0.2">
      <c r="A354" s="109" t="s">
        <v>81</v>
      </c>
      <c r="B354" s="110"/>
      <c r="C354" s="110"/>
      <c r="D354" s="110"/>
      <c r="E354" s="104"/>
      <c r="F354" s="105"/>
      <c r="G354" s="105"/>
      <c r="H354" s="126">
        <f>1057886.34*4.4103</f>
        <v>4665596.1253020009</v>
      </c>
      <c r="I354" s="127"/>
      <c r="J354" s="126"/>
      <c r="K354" s="126"/>
      <c r="L354" s="127"/>
      <c r="M354" s="126"/>
      <c r="N354" s="126"/>
      <c r="O354" s="127"/>
      <c r="P354" s="126">
        <f>H354</f>
        <v>4665596.1253020009</v>
      </c>
      <c r="Q354" s="126">
        <f>P354</f>
        <v>4665596.1253020009</v>
      </c>
      <c r="R354" s="127"/>
      <c r="S354" s="126">
        <f>Q354</f>
        <v>4665596.1253020009</v>
      </c>
      <c r="T354" s="107"/>
      <c r="U354" s="106"/>
    </row>
    <row r="355" spans="1:21" s="56" customFormat="1" x14ac:dyDescent="0.2">
      <c r="A355" s="109" t="s">
        <v>82</v>
      </c>
      <c r="B355" s="110"/>
      <c r="C355" s="110"/>
      <c r="D355" s="110"/>
      <c r="E355" s="104"/>
      <c r="F355" s="105"/>
      <c r="G355" s="105"/>
      <c r="H355" s="128">
        <f>1057886.34*4.4103</f>
        <v>4665596.1253020009</v>
      </c>
      <c r="I355" s="127"/>
      <c r="J355" s="128"/>
      <c r="K355" s="128"/>
      <c r="L355" s="127"/>
      <c r="M355" s="128"/>
      <c r="N355" s="128"/>
      <c r="O355" s="127"/>
      <c r="P355" s="128">
        <f>H355</f>
        <v>4665596.1253020009</v>
      </c>
      <c r="Q355" s="128">
        <f>P355</f>
        <v>4665596.1253020009</v>
      </c>
      <c r="R355" s="127"/>
      <c r="S355" s="128">
        <f>Q355</f>
        <v>4665596.1253020009</v>
      </c>
      <c r="T355" s="107"/>
      <c r="U355" s="112"/>
    </row>
    <row r="356" spans="1:21" s="56" customFormat="1" ht="22.5" customHeight="1" x14ac:dyDescent="0.2">
      <c r="A356" s="96" t="s">
        <v>338</v>
      </c>
      <c r="B356" s="97"/>
      <c r="C356" s="97"/>
      <c r="D356" s="97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</row>
    <row r="357" spans="1:21" s="56" customFormat="1" ht="19.149999999999999" customHeight="1" x14ac:dyDescent="0.2">
      <c r="A357" s="98" t="s">
        <v>339</v>
      </c>
      <c r="B357" s="99"/>
      <c r="C357" s="99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</row>
    <row r="358" spans="1:21" s="56" customFormat="1" ht="89.25" x14ac:dyDescent="0.2">
      <c r="A358" s="113">
        <v>108</v>
      </c>
      <c r="B358" s="114" t="s">
        <v>340</v>
      </c>
      <c r="C358" s="115" t="s">
        <v>341</v>
      </c>
      <c r="D358" s="116" t="s">
        <v>342</v>
      </c>
      <c r="E358" s="117" t="s">
        <v>310</v>
      </c>
      <c r="F358" s="118">
        <v>219.05</v>
      </c>
      <c r="G358" s="120">
        <v>480</v>
      </c>
      <c r="H358" s="119">
        <v>105144</v>
      </c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19">
        <v>480</v>
      </c>
      <c r="U358" s="119">
        <v>105144</v>
      </c>
    </row>
    <row r="359" spans="1:21" s="56" customFormat="1" ht="76.5" x14ac:dyDescent="0.2">
      <c r="A359" s="100">
        <v>109</v>
      </c>
      <c r="B359" s="101" t="s">
        <v>343</v>
      </c>
      <c r="C359" s="102" t="s">
        <v>344</v>
      </c>
      <c r="D359" s="103" t="s">
        <v>261</v>
      </c>
      <c r="E359" s="104" t="s">
        <v>310</v>
      </c>
      <c r="F359" s="105">
        <v>200.01</v>
      </c>
      <c r="G359" s="108">
        <v>480</v>
      </c>
      <c r="H359" s="106">
        <v>96004.800000000003</v>
      </c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6">
        <v>480</v>
      </c>
      <c r="U359" s="106">
        <v>96004.800000000003</v>
      </c>
    </row>
    <row r="360" spans="1:21" s="56" customFormat="1" ht="76.5" x14ac:dyDescent="0.2">
      <c r="A360" s="100">
        <v>110</v>
      </c>
      <c r="B360" s="101" t="s">
        <v>345</v>
      </c>
      <c r="C360" s="102" t="s">
        <v>346</v>
      </c>
      <c r="D360" s="103" t="s">
        <v>261</v>
      </c>
      <c r="E360" s="104" t="s">
        <v>310</v>
      </c>
      <c r="F360" s="105">
        <v>31.66</v>
      </c>
      <c r="G360" s="108">
        <v>48</v>
      </c>
      <c r="H360" s="106">
        <v>1519.68</v>
      </c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6">
        <v>48</v>
      </c>
      <c r="U360" s="106">
        <v>1519.68</v>
      </c>
    </row>
    <row r="361" spans="1:21" s="56" customFormat="1" ht="76.5" x14ac:dyDescent="0.2">
      <c r="A361" s="100">
        <v>111</v>
      </c>
      <c r="B361" s="101" t="s">
        <v>347</v>
      </c>
      <c r="C361" s="102" t="s">
        <v>348</v>
      </c>
      <c r="D361" s="103" t="s">
        <v>261</v>
      </c>
      <c r="E361" s="104" t="s">
        <v>310</v>
      </c>
      <c r="F361" s="105">
        <v>21.38</v>
      </c>
      <c r="G361" s="108">
        <v>48</v>
      </c>
      <c r="H361" s="106">
        <v>1026.24</v>
      </c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6">
        <v>48</v>
      </c>
      <c r="U361" s="106">
        <v>1026.24</v>
      </c>
    </row>
    <row r="362" spans="1:21" s="56" customFormat="1" ht="76.5" x14ac:dyDescent="0.2">
      <c r="A362" s="100">
        <v>112</v>
      </c>
      <c r="B362" s="101" t="s">
        <v>349</v>
      </c>
      <c r="C362" s="102" t="s">
        <v>350</v>
      </c>
      <c r="D362" s="103" t="s">
        <v>261</v>
      </c>
      <c r="E362" s="104" t="s">
        <v>310</v>
      </c>
      <c r="F362" s="105">
        <v>43.53</v>
      </c>
      <c r="G362" s="108">
        <v>48</v>
      </c>
      <c r="H362" s="106">
        <v>2089.44</v>
      </c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6">
        <v>48</v>
      </c>
      <c r="U362" s="106">
        <v>2089.44</v>
      </c>
    </row>
    <row r="363" spans="1:21" s="56" customFormat="1" ht="76.5" x14ac:dyDescent="0.2">
      <c r="A363" s="100">
        <v>113</v>
      </c>
      <c r="B363" s="101" t="s">
        <v>351</v>
      </c>
      <c r="C363" s="102" t="s">
        <v>352</v>
      </c>
      <c r="D363" s="103" t="s">
        <v>261</v>
      </c>
      <c r="E363" s="104" t="s">
        <v>310</v>
      </c>
      <c r="F363" s="105">
        <v>43.53</v>
      </c>
      <c r="G363" s="108">
        <v>48</v>
      </c>
      <c r="H363" s="106">
        <v>2089.44</v>
      </c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6">
        <v>48</v>
      </c>
      <c r="U363" s="106">
        <v>2089.44</v>
      </c>
    </row>
    <row r="364" spans="1:21" s="56" customFormat="1" ht="76.5" x14ac:dyDescent="0.2">
      <c r="A364" s="100">
        <v>114</v>
      </c>
      <c r="B364" s="101" t="s">
        <v>353</v>
      </c>
      <c r="C364" s="102" t="s">
        <v>354</v>
      </c>
      <c r="D364" s="103" t="s">
        <v>261</v>
      </c>
      <c r="E364" s="104" t="s">
        <v>310</v>
      </c>
      <c r="F364" s="105">
        <v>262.77999999999997</v>
      </c>
      <c r="G364" s="108">
        <v>48</v>
      </c>
      <c r="H364" s="106">
        <v>12613.44</v>
      </c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6">
        <v>48</v>
      </c>
      <c r="U364" s="106">
        <v>12613.44</v>
      </c>
    </row>
    <row r="365" spans="1:21" s="56" customFormat="1" x14ac:dyDescent="0.2">
      <c r="A365" s="109" t="s">
        <v>75</v>
      </c>
      <c r="B365" s="110"/>
      <c r="C365" s="110"/>
      <c r="D365" s="110"/>
      <c r="E365" s="104"/>
      <c r="F365" s="105"/>
      <c r="G365" s="105"/>
      <c r="H365" s="126">
        <f>115343.04*5.8108</f>
        <v>670235.33683200006</v>
      </c>
      <c r="I365" s="127"/>
      <c r="J365" s="126"/>
      <c r="K365" s="126"/>
      <c r="L365" s="127"/>
      <c r="M365" s="126"/>
      <c r="N365" s="126"/>
      <c r="O365" s="127"/>
      <c r="P365" s="126"/>
      <c r="Q365" s="126"/>
      <c r="R365" s="127"/>
      <c r="S365" s="126"/>
      <c r="T365" s="127"/>
      <c r="U365" s="126">
        <f>115343.04*5.8108</f>
        <v>670235.33683200006</v>
      </c>
    </row>
    <row r="366" spans="1:21" s="56" customFormat="1" outlineLevel="1" x14ac:dyDescent="0.2">
      <c r="A366" s="111" t="s">
        <v>76</v>
      </c>
      <c r="B366" s="110"/>
      <c r="C366" s="110"/>
      <c r="D366" s="110"/>
      <c r="E366" s="104"/>
      <c r="F366" s="105"/>
      <c r="G366" s="105"/>
      <c r="H366" s="126">
        <f>115343.04*5.8108</f>
        <v>670235.33683200006</v>
      </c>
      <c r="I366" s="127"/>
      <c r="J366" s="126"/>
      <c r="K366" s="126"/>
      <c r="L366" s="127"/>
      <c r="M366" s="126"/>
      <c r="N366" s="126"/>
      <c r="O366" s="127"/>
      <c r="P366" s="126"/>
      <c r="Q366" s="126"/>
      <c r="R366" s="127"/>
      <c r="S366" s="126"/>
      <c r="T366" s="127"/>
      <c r="U366" s="126">
        <f>115343.04*5.8108</f>
        <v>670235.33683200006</v>
      </c>
    </row>
    <row r="367" spans="1:21" s="56" customFormat="1" outlineLevel="1" x14ac:dyDescent="0.2">
      <c r="A367" s="111" t="s">
        <v>77</v>
      </c>
      <c r="B367" s="110"/>
      <c r="C367" s="110"/>
      <c r="D367" s="110"/>
      <c r="E367" s="104"/>
      <c r="F367" s="105"/>
      <c r="G367" s="105"/>
      <c r="H367" s="126"/>
      <c r="I367" s="127"/>
      <c r="J367" s="126"/>
      <c r="K367" s="126"/>
      <c r="L367" s="127"/>
      <c r="M367" s="126"/>
      <c r="N367" s="126"/>
      <c r="O367" s="127"/>
      <c r="P367" s="126"/>
      <c r="Q367" s="126"/>
      <c r="R367" s="127"/>
      <c r="S367" s="126"/>
      <c r="T367" s="127"/>
      <c r="U367" s="126"/>
    </row>
    <row r="368" spans="1:21" s="56" customFormat="1" outlineLevel="1" x14ac:dyDescent="0.2">
      <c r="A368" s="111" t="s">
        <v>78</v>
      </c>
      <c r="B368" s="110"/>
      <c r="C368" s="110"/>
      <c r="D368" s="110"/>
      <c r="E368" s="104"/>
      <c r="F368" s="105"/>
      <c r="G368" s="105"/>
      <c r="H368" s="126"/>
      <c r="I368" s="127"/>
      <c r="J368" s="126"/>
      <c r="K368" s="126"/>
      <c r="L368" s="127"/>
      <c r="M368" s="126"/>
      <c r="N368" s="126"/>
      <c r="O368" s="127"/>
      <c r="P368" s="126"/>
      <c r="Q368" s="126"/>
      <c r="R368" s="127"/>
      <c r="S368" s="126"/>
      <c r="T368" s="127"/>
      <c r="U368" s="126"/>
    </row>
    <row r="369" spans="1:21" s="56" customFormat="1" x14ac:dyDescent="0.2">
      <c r="A369" s="109" t="s">
        <v>79</v>
      </c>
      <c r="B369" s="110"/>
      <c r="C369" s="110"/>
      <c r="D369" s="110"/>
      <c r="E369" s="104"/>
      <c r="F369" s="105"/>
      <c r="G369" s="105"/>
      <c r="H369" s="126"/>
      <c r="I369" s="127"/>
      <c r="J369" s="126"/>
      <c r="K369" s="126"/>
      <c r="L369" s="127"/>
      <c r="M369" s="126"/>
      <c r="N369" s="126"/>
      <c r="O369" s="127"/>
      <c r="P369" s="126"/>
      <c r="Q369" s="126"/>
      <c r="R369" s="127"/>
      <c r="S369" s="126"/>
      <c r="T369" s="127"/>
      <c r="U369" s="126"/>
    </row>
    <row r="370" spans="1:21" s="56" customFormat="1" x14ac:dyDescent="0.2">
      <c r="A370" s="109" t="s">
        <v>80</v>
      </c>
      <c r="B370" s="110"/>
      <c r="C370" s="110"/>
      <c r="D370" s="110"/>
      <c r="E370" s="104"/>
      <c r="F370" s="105"/>
      <c r="G370" s="105"/>
      <c r="H370" s="126"/>
      <c r="I370" s="127"/>
      <c r="J370" s="126"/>
      <c r="K370" s="126"/>
      <c r="L370" s="127"/>
      <c r="M370" s="126"/>
      <c r="N370" s="126"/>
      <c r="O370" s="127"/>
      <c r="P370" s="126"/>
      <c r="Q370" s="126"/>
      <c r="R370" s="127"/>
      <c r="S370" s="126"/>
      <c r="T370" s="127"/>
      <c r="U370" s="126"/>
    </row>
    <row r="371" spans="1:21" s="56" customFormat="1" x14ac:dyDescent="0.2">
      <c r="A371" s="109" t="s">
        <v>81</v>
      </c>
      <c r="B371" s="110"/>
      <c r="C371" s="110"/>
      <c r="D371" s="110"/>
      <c r="E371" s="104"/>
      <c r="F371" s="105"/>
      <c r="G371" s="105"/>
      <c r="H371" s="126">
        <f>115343.04*5.8108</f>
        <v>670235.33683200006</v>
      </c>
      <c r="I371" s="127"/>
      <c r="J371" s="126"/>
      <c r="K371" s="126"/>
      <c r="L371" s="127"/>
      <c r="M371" s="126"/>
      <c r="N371" s="126"/>
      <c r="O371" s="127"/>
      <c r="P371" s="126"/>
      <c r="Q371" s="126"/>
      <c r="R371" s="127"/>
      <c r="S371" s="126"/>
      <c r="T371" s="127"/>
      <c r="U371" s="126">
        <f>115343.04*5.8108</f>
        <v>670235.33683200006</v>
      </c>
    </row>
    <row r="372" spans="1:21" s="56" customFormat="1" x14ac:dyDescent="0.2">
      <c r="A372" s="109" t="s">
        <v>82</v>
      </c>
      <c r="B372" s="110"/>
      <c r="C372" s="110"/>
      <c r="D372" s="110"/>
      <c r="E372" s="104"/>
      <c r="F372" s="105"/>
      <c r="G372" s="105"/>
      <c r="H372" s="128">
        <f>115343.04*5.8108</f>
        <v>670235.33683200006</v>
      </c>
      <c r="I372" s="127"/>
      <c r="J372" s="128"/>
      <c r="K372" s="128"/>
      <c r="L372" s="127"/>
      <c r="M372" s="128"/>
      <c r="N372" s="128"/>
      <c r="O372" s="127"/>
      <c r="P372" s="128"/>
      <c r="Q372" s="128"/>
      <c r="R372" s="127"/>
      <c r="S372" s="128"/>
      <c r="T372" s="127"/>
      <c r="U372" s="128">
        <f>115343.04*5.8108</f>
        <v>670235.33683200006</v>
      </c>
    </row>
    <row r="373" spans="1:21" s="56" customFormat="1" ht="22.5" customHeight="1" x14ac:dyDescent="0.2">
      <c r="A373" s="96" t="s">
        <v>355</v>
      </c>
      <c r="B373" s="97"/>
      <c r="C373" s="9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</row>
    <row r="374" spans="1:21" s="56" customFormat="1" ht="19.149999999999999" customHeight="1" x14ac:dyDescent="0.2">
      <c r="A374" s="98" t="s">
        <v>356</v>
      </c>
      <c r="B374" s="99"/>
      <c r="C374" s="99"/>
      <c r="D374" s="99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</row>
    <row r="375" spans="1:21" s="56" customFormat="1" ht="76.5" x14ac:dyDescent="0.2">
      <c r="A375" s="100">
        <v>115</v>
      </c>
      <c r="B375" s="101" t="s">
        <v>357</v>
      </c>
      <c r="C375" s="102" t="s">
        <v>344</v>
      </c>
      <c r="D375" s="103" t="s">
        <v>261</v>
      </c>
      <c r="E375" s="104" t="s">
        <v>310</v>
      </c>
      <c r="F375" s="105">
        <v>200.01</v>
      </c>
      <c r="G375" s="105">
        <v>160</v>
      </c>
      <c r="H375" s="106">
        <v>32001.599999999999</v>
      </c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6">
        <v>160</v>
      </c>
      <c r="U375" s="106">
        <v>32001.599999999999</v>
      </c>
    </row>
    <row r="376" spans="1:21" s="56" customFormat="1" ht="76.5" x14ac:dyDescent="0.2">
      <c r="A376" s="100">
        <v>116</v>
      </c>
      <c r="B376" s="101" t="s">
        <v>358</v>
      </c>
      <c r="C376" s="102" t="s">
        <v>359</v>
      </c>
      <c r="D376" s="103" t="s">
        <v>261</v>
      </c>
      <c r="E376" s="104" t="s">
        <v>310</v>
      </c>
      <c r="F376" s="105">
        <v>23.12</v>
      </c>
      <c r="G376" s="108">
        <v>16</v>
      </c>
      <c r="H376" s="106">
        <v>369.92</v>
      </c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6">
        <v>16</v>
      </c>
      <c r="U376" s="106">
        <v>369.92</v>
      </c>
    </row>
    <row r="377" spans="1:21" s="56" customFormat="1" ht="76.5" x14ac:dyDescent="0.2">
      <c r="A377" s="100">
        <v>117</v>
      </c>
      <c r="B377" s="101" t="s">
        <v>360</v>
      </c>
      <c r="C377" s="102" t="s">
        <v>361</v>
      </c>
      <c r="D377" s="103" t="s">
        <v>261</v>
      </c>
      <c r="E377" s="104" t="s">
        <v>310</v>
      </c>
      <c r="F377" s="105">
        <v>31.95</v>
      </c>
      <c r="G377" s="108">
        <v>32</v>
      </c>
      <c r="H377" s="106">
        <v>1022.4</v>
      </c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6">
        <v>32</v>
      </c>
      <c r="U377" s="106">
        <v>1022.4</v>
      </c>
    </row>
    <row r="378" spans="1:21" s="56" customFormat="1" ht="76.5" x14ac:dyDescent="0.2">
      <c r="A378" s="100">
        <v>118</v>
      </c>
      <c r="B378" s="101" t="s">
        <v>362</v>
      </c>
      <c r="C378" s="102" t="s">
        <v>363</v>
      </c>
      <c r="D378" s="103" t="s">
        <v>261</v>
      </c>
      <c r="E378" s="104" t="s">
        <v>310</v>
      </c>
      <c r="F378" s="105">
        <v>45.27</v>
      </c>
      <c r="G378" s="108">
        <v>8</v>
      </c>
      <c r="H378" s="106">
        <v>362.16</v>
      </c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6">
        <v>8</v>
      </c>
      <c r="U378" s="106">
        <v>362.16</v>
      </c>
    </row>
    <row r="379" spans="1:21" s="56" customFormat="1" ht="76.5" x14ac:dyDescent="0.2">
      <c r="A379" s="100">
        <v>119</v>
      </c>
      <c r="B379" s="101" t="s">
        <v>364</v>
      </c>
      <c r="C379" s="102" t="s">
        <v>365</v>
      </c>
      <c r="D379" s="103" t="s">
        <v>261</v>
      </c>
      <c r="E379" s="104" t="s">
        <v>310</v>
      </c>
      <c r="F379" s="105">
        <v>26.94</v>
      </c>
      <c r="G379" s="108">
        <v>16</v>
      </c>
      <c r="H379" s="106">
        <v>431.04</v>
      </c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6">
        <v>16</v>
      </c>
      <c r="U379" s="106">
        <v>431.04</v>
      </c>
    </row>
    <row r="380" spans="1:21" s="56" customFormat="1" ht="76.5" x14ac:dyDescent="0.2">
      <c r="A380" s="100">
        <v>120</v>
      </c>
      <c r="B380" s="101" t="s">
        <v>366</v>
      </c>
      <c r="C380" s="102" t="s">
        <v>367</v>
      </c>
      <c r="D380" s="103" t="s">
        <v>261</v>
      </c>
      <c r="E380" s="104" t="s">
        <v>310</v>
      </c>
      <c r="F380" s="105">
        <v>36.11</v>
      </c>
      <c r="G380" s="108">
        <v>16</v>
      </c>
      <c r="H380" s="106">
        <v>577.76</v>
      </c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6">
        <v>16</v>
      </c>
      <c r="U380" s="106">
        <v>577.76</v>
      </c>
    </row>
    <row r="381" spans="1:21" s="56" customFormat="1" ht="76.5" x14ac:dyDescent="0.2">
      <c r="A381" s="100">
        <v>121</v>
      </c>
      <c r="B381" s="101" t="s">
        <v>368</v>
      </c>
      <c r="C381" s="102" t="s">
        <v>369</v>
      </c>
      <c r="D381" s="103" t="s">
        <v>261</v>
      </c>
      <c r="E381" s="104" t="s">
        <v>310</v>
      </c>
      <c r="F381" s="105">
        <v>55</v>
      </c>
      <c r="G381" s="108">
        <v>16</v>
      </c>
      <c r="H381" s="106">
        <v>880</v>
      </c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6">
        <v>16</v>
      </c>
      <c r="U381" s="106">
        <v>880</v>
      </c>
    </row>
    <row r="382" spans="1:21" s="56" customFormat="1" ht="76.5" x14ac:dyDescent="0.2">
      <c r="A382" s="100">
        <v>122</v>
      </c>
      <c r="B382" s="101" t="s">
        <v>370</v>
      </c>
      <c r="C382" s="102" t="s">
        <v>371</v>
      </c>
      <c r="D382" s="103" t="s">
        <v>261</v>
      </c>
      <c r="E382" s="104" t="s">
        <v>310</v>
      </c>
      <c r="F382" s="105">
        <v>89.83</v>
      </c>
      <c r="G382" s="108">
        <v>8</v>
      </c>
      <c r="H382" s="106">
        <v>718.64</v>
      </c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6">
        <v>8</v>
      </c>
      <c r="U382" s="106">
        <v>718.64</v>
      </c>
    </row>
    <row r="383" spans="1:21" s="56" customFormat="1" ht="76.5" x14ac:dyDescent="0.2">
      <c r="A383" s="100">
        <v>123</v>
      </c>
      <c r="B383" s="101" t="s">
        <v>372</v>
      </c>
      <c r="C383" s="102" t="s">
        <v>373</v>
      </c>
      <c r="D383" s="103" t="s">
        <v>261</v>
      </c>
      <c r="E383" s="104" t="s">
        <v>310</v>
      </c>
      <c r="F383" s="105">
        <v>82.62</v>
      </c>
      <c r="G383" s="108">
        <v>16</v>
      </c>
      <c r="H383" s="106">
        <v>1321.92</v>
      </c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6">
        <v>16</v>
      </c>
      <c r="U383" s="106">
        <v>1321.92</v>
      </c>
    </row>
    <row r="384" spans="1:21" s="56" customFormat="1" x14ac:dyDescent="0.2">
      <c r="A384" s="109" t="s">
        <v>75</v>
      </c>
      <c r="B384" s="110"/>
      <c r="C384" s="110"/>
      <c r="D384" s="110"/>
      <c r="E384" s="104"/>
      <c r="F384" s="105"/>
      <c r="G384" s="105"/>
      <c r="H384" s="126">
        <f>37685.44*5.8108</f>
        <v>218982.55475200003</v>
      </c>
      <c r="I384" s="127"/>
      <c r="J384" s="126"/>
      <c r="K384" s="126"/>
      <c r="L384" s="127"/>
      <c r="M384" s="126"/>
      <c r="N384" s="126"/>
      <c r="O384" s="127"/>
      <c r="P384" s="126"/>
      <c r="Q384" s="126"/>
      <c r="R384" s="127"/>
      <c r="S384" s="126"/>
      <c r="T384" s="127"/>
      <c r="U384" s="126">
        <f>37685.44*5.8108</f>
        <v>218982.55475200003</v>
      </c>
    </row>
    <row r="385" spans="1:21" s="56" customFormat="1" outlineLevel="1" x14ac:dyDescent="0.2">
      <c r="A385" s="111" t="s">
        <v>76</v>
      </c>
      <c r="B385" s="110"/>
      <c r="C385" s="110"/>
      <c r="D385" s="110"/>
      <c r="E385" s="104"/>
      <c r="F385" s="105"/>
      <c r="G385" s="105"/>
      <c r="H385" s="126">
        <f>37685.44*5.8108</f>
        <v>218982.55475200003</v>
      </c>
      <c r="I385" s="127"/>
      <c r="J385" s="126"/>
      <c r="K385" s="126"/>
      <c r="L385" s="127"/>
      <c r="M385" s="126"/>
      <c r="N385" s="126"/>
      <c r="O385" s="127"/>
      <c r="P385" s="126"/>
      <c r="Q385" s="126"/>
      <c r="R385" s="127"/>
      <c r="S385" s="126"/>
      <c r="T385" s="127"/>
      <c r="U385" s="126">
        <f>37685.44*5.8108</f>
        <v>218982.55475200003</v>
      </c>
    </row>
    <row r="386" spans="1:21" s="56" customFormat="1" outlineLevel="1" x14ac:dyDescent="0.2">
      <c r="A386" s="111" t="s">
        <v>77</v>
      </c>
      <c r="B386" s="110"/>
      <c r="C386" s="110"/>
      <c r="D386" s="110"/>
      <c r="E386" s="104"/>
      <c r="F386" s="105"/>
      <c r="G386" s="105"/>
      <c r="H386" s="126"/>
      <c r="I386" s="127"/>
      <c r="J386" s="126"/>
      <c r="K386" s="126"/>
      <c r="L386" s="127"/>
      <c r="M386" s="126"/>
      <c r="N386" s="126"/>
      <c r="O386" s="127"/>
      <c r="P386" s="126"/>
      <c r="Q386" s="126"/>
      <c r="R386" s="127"/>
      <c r="S386" s="126"/>
      <c r="T386" s="127"/>
      <c r="U386" s="126"/>
    </row>
    <row r="387" spans="1:21" s="56" customFormat="1" outlineLevel="1" x14ac:dyDescent="0.2">
      <c r="A387" s="111" t="s">
        <v>78</v>
      </c>
      <c r="B387" s="110"/>
      <c r="C387" s="110"/>
      <c r="D387" s="110"/>
      <c r="E387" s="104"/>
      <c r="F387" s="105"/>
      <c r="G387" s="105"/>
      <c r="H387" s="126"/>
      <c r="I387" s="127"/>
      <c r="J387" s="126"/>
      <c r="K387" s="126"/>
      <c r="L387" s="127"/>
      <c r="M387" s="126"/>
      <c r="N387" s="126"/>
      <c r="O387" s="127"/>
      <c r="P387" s="126"/>
      <c r="Q387" s="126"/>
      <c r="R387" s="127"/>
      <c r="S387" s="126"/>
      <c r="T387" s="127"/>
      <c r="U387" s="126"/>
    </row>
    <row r="388" spans="1:21" s="56" customFormat="1" x14ac:dyDescent="0.2">
      <c r="A388" s="109" t="s">
        <v>79</v>
      </c>
      <c r="B388" s="110"/>
      <c r="C388" s="110"/>
      <c r="D388" s="110"/>
      <c r="E388" s="104"/>
      <c r="F388" s="105"/>
      <c r="G388" s="105"/>
      <c r="H388" s="126"/>
      <c r="I388" s="127"/>
      <c r="J388" s="126"/>
      <c r="K388" s="126"/>
      <c r="L388" s="127"/>
      <c r="M388" s="126"/>
      <c r="N388" s="126"/>
      <c r="O388" s="127"/>
      <c r="P388" s="126"/>
      <c r="Q388" s="126"/>
      <c r="R388" s="127"/>
      <c r="S388" s="126"/>
      <c r="T388" s="127"/>
      <c r="U388" s="126"/>
    </row>
    <row r="389" spans="1:21" s="56" customFormat="1" x14ac:dyDescent="0.2">
      <c r="A389" s="109" t="s">
        <v>80</v>
      </c>
      <c r="B389" s="110"/>
      <c r="C389" s="110"/>
      <c r="D389" s="110"/>
      <c r="E389" s="104"/>
      <c r="F389" s="105"/>
      <c r="G389" s="105"/>
      <c r="H389" s="126"/>
      <c r="I389" s="127"/>
      <c r="J389" s="126"/>
      <c r="K389" s="126"/>
      <c r="L389" s="127"/>
      <c r="M389" s="126"/>
      <c r="N389" s="126"/>
      <c r="O389" s="127"/>
      <c r="P389" s="126"/>
      <c r="Q389" s="126"/>
      <c r="R389" s="127"/>
      <c r="S389" s="126"/>
      <c r="T389" s="127"/>
      <c r="U389" s="126"/>
    </row>
    <row r="390" spans="1:21" s="56" customFormat="1" x14ac:dyDescent="0.2">
      <c r="A390" s="109" t="s">
        <v>81</v>
      </c>
      <c r="B390" s="110"/>
      <c r="C390" s="110"/>
      <c r="D390" s="110"/>
      <c r="E390" s="104"/>
      <c r="F390" s="105"/>
      <c r="G390" s="105"/>
      <c r="H390" s="126">
        <f>37685.44*5.8108</f>
        <v>218982.55475200003</v>
      </c>
      <c r="I390" s="127"/>
      <c r="J390" s="126"/>
      <c r="K390" s="126"/>
      <c r="L390" s="127"/>
      <c r="M390" s="126"/>
      <c r="N390" s="126"/>
      <c r="O390" s="127"/>
      <c r="P390" s="126"/>
      <c r="Q390" s="126"/>
      <c r="R390" s="127"/>
      <c r="S390" s="126"/>
      <c r="T390" s="127"/>
      <c r="U390" s="126">
        <f>37685.44*5.8108</f>
        <v>218982.55475200003</v>
      </c>
    </row>
    <row r="391" spans="1:21" s="56" customFormat="1" x14ac:dyDescent="0.2">
      <c r="A391" s="109" t="s">
        <v>82</v>
      </c>
      <c r="B391" s="110"/>
      <c r="C391" s="110"/>
      <c r="D391" s="110"/>
      <c r="E391" s="104"/>
      <c r="F391" s="105"/>
      <c r="G391" s="105"/>
      <c r="H391" s="128">
        <f>37685.44*5.8108</f>
        <v>218982.55475200003</v>
      </c>
      <c r="I391" s="127"/>
      <c r="J391" s="128"/>
      <c r="K391" s="128"/>
      <c r="L391" s="127"/>
      <c r="M391" s="128"/>
      <c r="N391" s="128"/>
      <c r="O391" s="127"/>
      <c r="P391" s="128"/>
      <c r="Q391" s="128"/>
      <c r="R391" s="127"/>
      <c r="S391" s="128"/>
      <c r="T391" s="127"/>
      <c r="U391" s="128">
        <f>37685.44*5.8108</f>
        <v>218982.55475200003</v>
      </c>
    </row>
    <row r="392" spans="1:21" s="56" customFormat="1" ht="22.5" customHeight="1" x14ac:dyDescent="0.2">
      <c r="A392" s="96" t="s">
        <v>374</v>
      </c>
      <c r="B392" s="97"/>
      <c r="C392" s="97"/>
      <c r="D392" s="9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</row>
    <row r="393" spans="1:21" s="56" customFormat="1" ht="19.149999999999999" customHeight="1" x14ac:dyDescent="0.2">
      <c r="A393" s="98" t="s">
        <v>375</v>
      </c>
      <c r="B393" s="99"/>
      <c r="C393" s="99"/>
      <c r="D393" s="99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</row>
    <row r="394" spans="1:21" s="56" customFormat="1" ht="76.5" x14ac:dyDescent="0.2">
      <c r="A394" s="100">
        <v>124</v>
      </c>
      <c r="B394" s="101" t="s">
        <v>376</v>
      </c>
      <c r="C394" s="102" t="s">
        <v>377</v>
      </c>
      <c r="D394" s="103" t="s">
        <v>379</v>
      </c>
      <c r="E394" s="104" t="s">
        <v>380</v>
      </c>
      <c r="F394" s="105">
        <v>81645.62</v>
      </c>
      <c r="G394" s="105">
        <v>8.7360000000000007E-3</v>
      </c>
      <c r="H394" s="106">
        <v>713.26</v>
      </c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6">
        <v>8.7360000000000007E-3</v>
      </c>
      <c r="U394" s="106">
        <v>713.26</v>
      </c>
    </row>
    <row r="395" spans="1:21" s="56" customFormat="1" ht="76.5" x14ac:dyDescent="0.2">
      <c r="A395" s="100">
        <v>125</v>
      </c>
      <c r="B395" s="101" t="s">
        <v>381</v>
      </c>
      <c r="C395" s="102" t="s">
        <v>382</v>
      </c>
      <c r="D395" s="103" t="s">
        <v>261</v>
      </c>
      <c r="E395" s="104" t="s">
        <v>310</v>
      </c>
      <c r="F395" s="105">
        <v>49.56</v>
      </c>
      <c r="G395" s="108">
        <v>6</v>
      </c>
      <c r="H395" s="106">
        <v>297.36</v>
      </c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6">
        <v>6</v>
      </c>
      <c r="U395" s="106">
        <v>297.36</v>
      </c>
    </row>
    <row r="396" spans="1:21" s="56" customFormat="1" ht="76.5" x14ac:dyDescent="0.2">
      <c r="A396" s="100">
        <v>126</v>
      </c>
      <c r="B396" s="101" t="s">
        <v>383</v>
      </c>
      <c r="C396" s="102" t="s">
        <v>384</v>
      </c>
      <c r="D396" s="103" t="s">
        <v>261</v>
      </c>
      <c r="E396" s="104" t="s">
        <v>310</v>
      </c>
      <c r="F396" s="105">
        <v>49.56</v>
      </c>
      <c r="G396" s="108">
        <v>4</v>
      </c>
      <c r="H396" s="106">
        <v>198.24</v>
      </c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6">
        <v>4</v>
      </c>
      <c r="U396" s="106">
        <v>198.24</v>
      </c>
    </row>
    <row r="397" spans="1:21" s="56" customFormat="1" ht="38.25" x14ac:dyDescent="0.2">
      <c r="A397" s="100">
        <v>127</v>
      </c>
      <c r="B397" s="101" t="s">
        <v>385</v>
      </c>
      <c r="C397" s="102" t="s">
        <v>386</v>
      </c>
      <c r="D397" s="103" t="s">
        <v>387</v>
      </c>
      <c r="E397" s="104" t="s">
        <v>388</v>
      </c>
      <c r="F397" s="105">
        <v>28.31</v>
      </c>
      <c r="G397" s="108">
        <v>4</v>
      </c>
      <c r="H397" s="106">
        <v>113.24</v>
      </c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6">
        <v>4</v>
      </c>
      <c r="U397" s="106">
        <v>113.24</v>
      </c>
    </row>
    <row r="398" spans="1:21" s="56" customFormat="1" ht="38.25" x14ac:dyDescent="0.2">
      <c r="A398" s="100">
        <v>128</v>
      </c>
      <c r="B398" s="101" t="s">
        <v>389</v>
      </c>
      <c r="C398" s="102" t="s">
        <v>386</v>
      </c>
      <c r="D398" s="103" t="s">
        <v>387</v>
      </c>
      <c r="E398" s="104" t="s">
        <v>388</v>
      </c>
      <c r="F398" s="105">
        <v>28.31</v>
      </c>
      <c r="G398" s="108">
        <v>4</v>
      </c>
      <c r="H398" s="106">
        <v>113.24</v>
      </c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6">
        <v>4</v>
      </c>
      <c r="U398" s="106">
        <v>113.24</v>
      </c>
    </row>
    <row r="399" spans="1:21" s="56" customFormat="1" ht="76.5" x14ac:dyDescent="0.2">
      <c r="A399" s="100">
        <v>129</v>
      </c>
      <c r="B399" s="101" t="s">
        <v>390</v>
      </c>
      <c r="C399" s="102" t="s">
        <v>391</v>
      </c>
      <c r="D399" s="103" t="s">
        <v>261</v>
      </c>
      <c r="E399" s="104" t="s">
        <v>388</v>
      </c>
      <c r="F399" s="105">
        <v>504.27</v>
      </c>
      <c r="G399" s="108">
        <v>2</v>
      </c>
      <c r="H399" s="106">
        <v>1008.54</v>
      </c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6">
        <v>2</v>
      </c>
      <c r="U399" s="106">
        <v>1008.54</v>
      </c>
    </row>
    <row r="400" spans="1:21" s="56" customFormat="1" ht="76.5" x14ac:dyDescent="0.2">
      <c r="A400" s="100">
        <v>130</v>
      </c>
      <c r="B400" s="101" t="s">
        <v>392</v>
      </c>
      <c r="C400" s="102" t="s">
        <v>393</v>
      </c>
      <c r="D400" s="103" t="s">
        <v>261</v>
      </c>
      <c r="E400" s="104" t="s">
        <v>310</v>
      </c>
      <c r="F400" s="105">
        <v>104.23</v>
      </c>
      <c r="G400" s="108">
        <v>11</v>
      </c>
      <c r="H400" s="106">
        <v>1146.53</v>
      </c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6">
        <v>11</v>
      </c>
      <c r="U400" s="106">
        <v>1146.53</v>
      </c>
    </row>
    <row r="401" spans="1:21" s="56" customFormat="1" ht="76.5" x14ac:dyDescent="0.2">
      <c r="A401" s="100">
        <v>131</v>
      </c>
      <c r="B401" s="101" t="s">
        <v>394</v>
      </c>
      <c r="C401" s="102" t="s">
        <v>395</v>
      </c>
      <c r="D401" s="103" t="s">
        <v>261</v>
      </c>
      <c r="E401" s="104" t="s">
        <v>388</v>
      </c>
      <c r="F401" s="105">
        <v>131.79</v>
      </c>
      <c r="G401" s="108">
        <v>3</v>
      </c>
      <c r="H401" s="106">
        <v>395.37</v>
      </c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6">
        <v>3</v>
      </c>
      <c r="U401" s="106">
        <v>395.37</v>
      </c>
    </row>
    <row r="402" spans="1:21" s="56" customFormat="1" ht="76.5" x14ac:dyDescent="0.2">
      <c r="A402" s="100">
        <v>132</v>
      </c>
      <c r="B402" s="101" t="s">
        <v>396</v>
      </c>
      <c r="C402" s="102" t="s">
        <v>397</v>
      </c>
      <c r="D402" s="103" t="s">
        <v>261</v>
      </c>
      <c r="E402" s="104" t="s">
        <v>388</v>
      </c>
      <c r="F402" s="105">
        <v>131.79</v>
      </c>
      <c r="G402" s="108">
        <v>4</v>
      </c>
      <c r="H402" s="106">
        <v>527.16</v>
      </c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6">
        <v>4</v>
      </c>
      <c r="U402" s="106">
        <v>527.16</v>
      </c>
    </row>
    <row r="403" spans="1:21" s="56" customFormat="1" ht="76.5" x14ac:dyDescent="0.2">
      <c r="A403" s="100">
        <v>133</v>
      </c>
      <c r="B403" s="101" t="s">
        <v>398</v>
      </c>
      <c r="C403" s="102" t="s">
        <v>399</v>
      </c>
      <c r="D403" s="103" t="s">
        <v>261</v>
      </c>
      <c r="E403" s="104" t="s">
        <v>388</v>
      </c>
      <c r="F403" s="105">
        <v>208.03</v>
      </c>
      <c r="G403" s="108">
        <v>1</v>
      </c>
      <c r="H403" s="106">
        <v>208.03</v>
      </c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6">
        <v>1</v>
      </c>
      <c r="U403" s="106">
        <v>208.03</v>
      </c>
    </row>
    <row r="404" spans="1:21" s="56" customFormat="1" ht="76.5" x14ac:dyDescent="0.2">
      <c r="A404" s="100">
        <v>134</v>
      </c>
      <c r="B404" s="101" t="s">
        <v>400</v>
      </c>
      <c r="C404" s="102" t="s">
        <v>401</v>
      </c>
      <c r="D404" s="103" t="s">
        <v>261</v>
      </c>
      <c r="E404" s="104" t="s">
        <v>388</v>
      </c>
      <c r="F404" s="105">
        <v>205.13</v>
      </c>
      <c r="G404" s="108">
        <v>2</v>
      </c>
      <c r="H404" s="106">
        <v>410.26</v>
      </c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6">
        <v>2</v>
      </c>
      <c r="U404" s="106">
        <v>410.26</v>
      </c>
    </row>
    <row r="405" spans="1:21" s="56" customFormat="1" ht="38.25" x14ac:dyDescent="0.2">
      <c r="A405" s="100">
        <v>135</v>
      </c>
      <c r="B405" s="101" t="s">
        <v>402</v>
      </c>
      <c r="C405" s="102" t="s">
        <v>403</v>
      </c>
      <c r="D405" s="103" t="s">
        <v>404</v>
      </c>
      <c r="E405" s="104" t="s">
        <v>380</v>
      </c>
      <c r="F405" s="105">
        <v>8433.19</v>
      </c>
      <c r="G405" s="105">
        <v>3.1689999999999999E-3</v>
      </c>
      <c r="H405" s="106">
        <v>26.72</v>
      </c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6">
        <v>3.1689999999999999E-3</v>
      </c>
      <c r="U405" s="106">
        <v>26.72</v>
      </c>
    </row>
    <row r="406" spans="1:21" s="56" customFormat="1" ht="38.25" x14ac:dyDescent="0.2">
      <c r="A406" s="100">
        <v>136</v>
      </c>
      <c r="B406" s="101" t="s">
        <v>405</v>
      </c>
      <c r="C406" s="102" t="s">
        <v>406</v>
      </c>
      <c r="D406" s="103" t="s">
        <v>407</v>
      </c>
      <c r="E406" s="104" t="s">
        <v>380</v>
      </c>
      <c r="F406" s="105">
        <v>7928.9</v>
      </c>
      <c r="G406" s="105">
        <v>2.2658999999999999E-2</v>
      </c>
      <c r="H406" s="106">
        <v>179.66</v>
      </c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6">
        <v>2.2658999999999999E-2</v>
      </c>
      <c r="U406" s="106">
        <v>179.66</v>
      </c>
    </row>
    <row r="407" spans="1:21" s="56" customFormat="1" ht="38.25" x14ac:dyDescent="0.2">
      <c r="A407" s="100">
        <v>137</v>
      </c>
      <c r="B407" s="101" t="s">
        <v>408</v>
      </c>
      <c r="C407" s="102" t="s">
        <v>409</v>
      </c>
      <c r="D407" s="103" t="s">
        <v>410</v>
      </c>
      <c r="E407" s="104" t="s">
        <v>380</v>
      </c>
      <c r="F407" s="105">
        <v>6605.12</v>
      </c>
      <c r="G407" s="105">
        <v>2.9214E-2</v>
      </c>
      <c r="H407" s="106">
        <v>192.96</v>
      </c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6">
        <v>2.9214E-2</v>
      </c>
      <c r="U407" s="106">
        <v>192.96</v>
      </c>
    </row>
    <row r="408" spans="1:21" s="56" customFormat="1" ht="76.5" x14ac:dyDescent="0.2">
      <c r="A408" s="100">
        <v>138</v>
      </c>
      <c r="B408" s="101" t="s">
        <v>411</v>
      </c>
      <c r="C408" s="102" t="s">
        <v>412</v>
      </c>
      <c r="D408" s="103" t="s">
        <v>261</v>
      </c>
      <c r="E408" s="104" t="s">
        <v>388</v>
      </c>
      <c r="F408" s="105">
        <v>205.13</v>
      </c>
      <c r="G408" s="108">
        <v>2</v>
      </c>
      <c r="H408" s="106">
        <v>410.26</v>
      </c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6">
        <v>2</v>
      </c>
      <c r="U408" s="106">
        <v>410.26</v>
      </c>
    </row>
    <row r="409" spans="1:21" s="56" customFormat="1" ht="76.5" x14ac:dyDescent="0.2">
      <c r="A409" s="100">
        <v>139</v>
      </c>
      <c r="B409" s="101" t="s">
        <v>413</v>
      </c>
      <c r="C409" s="102" t="s">
        <v>414</v>
      </c>
      <c r="D409" s="103" t="s">
        <v>261</v>
      </c>
      <c r="E409" s="104" t="s">
        <v>388</v>
      </c>
      <c r="F409" s="105">
        <v>205.13</v>
      </c>
      <c r="G409" s="108">
        <v>2</v>
      </c>
      <c r="H409" s="106">
        <v>410.26</v>
      </c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6">
        <v>2</v>
      </c>
      <c r="U409" s="106">
        <v>410.26</v>
      </c>
    </row>
    <row r="410" spans="1:21" s="56" customFormat="1" ht="38.25" x14ac:dyDescent="0.2">
      <c r="A410" s="100">
        <v>140</v>
      </c>
      <c r="B410" s="101" t="s">
        <v>415</v>
      </c>
      <c r="C410" s="102" t="s">
        <v>416</v>
      </c>
      <c r="D410" s="103" t="s">
        <v>417</v>
      </c>
      <c r="E410" s="104" t="s">
        <v>388</v>
      </c>
      <c r="F410" s="105">
        <v>155.53</v>
      </c>
      <c r="G410" s="108">
        <v>2</v>
      </c>
      <c r="H410" s="106">
        <v>311.06</v>
      </c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6">
        <v>2</v>
      </c>
      <c r="U410" s="106">
        <v>311.06</v>
      </c>
    </row>
    <row r="411" spans="1:21" s="56" customFormat="1" x14ac:dyDescent="0.2">
      <c r="A411" s="109" t="s">
        <v>75</v>
      </c>
      <c r="B411" s="110"/>
      <c r="C411" s="110"/>
      <c r="D411" s="110"/>
      <c r="E411" s="104"/>
      <c r="F411" s="105"/>
      <c r="G411" s="105"/>
      <c r="H411" s="126">
        <f>6662.15*5.8108</f>
        <v>38712.421220000004</v>
      </c>
      <c r="I411" s="127"/>
      <c r="J411" s="126"/>
      <c r="K411" s="126"/>
      <c r="L411" s="127"/>
      <c r="M411" s="126"/>
      <c r="N411" s="126"/>
      <c r="O411" s="127"/>
      <c r="P411" s="126"/>
      <c r="Q411" s="126"/>
      <c r="R411" s="127"/>
      <c r="S411" s="126"/>
      <c r="T411" s="127"/>
      <c r="U411" s="126">
        <f>6662.15*5.8108</f>
        <v>38712.421220000004</v>
      </c>
    </row>
    <row r="412" spans="1:21" s="56" customFormat="1" outlineLevel="1" x14ac:dyDescent="0.2">
      <c r="A412" s="111" t="s">
        <v>76</v>
      </c>
      <c r="B412" s="110"/>
      <c r="C412" s="110"/>
      <c r="D412" s="110"/>
      <c r="E412" s="104"/>
      <c r="F412" s="105"/>
      <c r="G412" s="105"/>
      <c r="H412" s="126">
        <f>6662.15*5.8108</f>
        <v>38712.421220000004</v>
      </c>
      <c r="I412" s="127"/>
      <c r="J412" s="126"/>
      <c r="K412" s="126"/>
      <c r="L412" s="127"/>
      <c r="M412" s="126"/>
      <c r="N412" s="126"/>
      <c r="O412" s="127"/>
      <c r="P412" s="126"/>
      <c r="Q412" s="126"/>
      <c r="R412" s="127"/>
      <c r="S412" s="126"/>
      <c r="T412" s="127"/>
      <c r="U412" s="126">
        <f>6662.15*5.8108</f>
        <v>38712.421220000004</v>
      </c>
    </row>
    <row r="413" spans="1:21" s="56" customFormat="1" outlineLevel="1" x14ac:dyDescent="0.2">
      <c r="A413" s="111" t="s">
        <v>77</v>
      </c>
      <c r="B413" s="110"/>
      <c r="C413" s="110"/>
      <c r="D413" s="110"/>
      <c r="E413" s="104"/>
      <c r="F413" s="105"/>
      <c r="G413" s="105"/>
      <c r="H413" s="126"/>
      <c r="I413" s="127"/>
      <c r="J413" s="126"/>
      <c r="K413" s="126"/>
      <c r="L413" s="127"/>
      <c r="M413" s="126"/>
      <c r="N413" s="126"/>
      <c r="O413" s="127"/>
      <c r="P413" s="126"/>
      <c r="Q413" s="126"/>
      <c r="R413" s="127"/>
      <c r="S413" s="126"/>
      <c r="T413" s="127"/>
      <c r="U413" s="126"/>
    </row>
    <row r="414" spans="1:21" s="56" customFormat="1" outlineLevel="1" x14ac:dyDescent="0.2">
      <c r="A414" s="111" t="s">
        <v>78</v>
      </c>
      <c r="B414" s="110"/>
      <c r="C414" s="110"/>
      <c r="D414" s="110"/>
      <c r="E414" s="104"/>
      <c r="F414" s="105"/>
      <c r="G414" s="105"/>
      <c r="H414" s="126"/>
      <c r="I414" s="127"/>
      <c r="J414" s="126"/>
      <c r="K414" s="126"/>
      <c r="L414" s="127"/>
      <c r="M414" s="126"/>
      <c r="N414" s="126"/>
      <c r="O414" s="127"/>
      <c r="P414" s="126"/>
      <c r="Q414" s="126"/>
      <c r="R414" s="127"/>
      <c r="S414" s="126"/>
      <c r="T414" s="127"/>
      <c r="U414" s="126"/>
    </row>
    <row r="415" spans="1:21" s="56" customFormat="1" x14ac:dyDescent="0.2">
      <c r="A415" s="109" t="s">
        <v>79</v>
      </c>
      <c r="B415" s="110"/>
      <c r="C415" s="110"/>
      <c r="D415" s="110"/>
      <c r="E415" s="104"/>
      <c r="F415" s="105"/>
      <c r="G415" s="105"/>
      <c r="H415" s="126"/>
      <c r="I415" s="127"/>
      <c r="J415" s="126"/>
      <c r="K415" s="126"/>
      <c r="L415" s="127"/>
      <c r="M415" s="126"/>
      <c r="N415" s="126"/>
      <c r="O415" s="127"/>
      <c r="P415" s="126"/>
      <c r="Q415" s="126"/>
      <c r="R415" s="127"/>
      <c r="S415" s="126"/>
      <c r="T415" s="127"/>
      <c r="U415" s="126"/>
    </row>
    <row r="416" spans="1:21" s="56" customFormat="1" x14ac:dyDescent="0.2">
      <c r="A416" s="109" t="s">
        <v>80</v>
      </c>
      <c r="B416" s="110"/>
      <c r="C416" s="110"/>
      <c r="D416" s="110"/>
      <c r="E416" s="104"/>
      <c r="F416" s="105"/>
      <c r="G416" s="105"/>
      <c r="H416" s="126"/>
      <c r="I416" s="127"/>
      <c r="J416" s="126"/>
      <c r="K416" s="126"/>
      <c r="L416" s="127"/>
      <c r="M416" s="126"/>
      <c r="N416" s="126"/>
      <c r="O416" s="127"/>
      <c r="P416" s="126"/>
      <c r="Q416" s="126"/>
      <c r="R416" s="127"/>
      <c r="S416" s="126"/>
      <c r="T416" s="127"/>
      <c r="U416" s="126"/>
    </row>
    <row r="417" spans="1:21" s="56" customFormat="1" x14ac:dyDescent="0.2">
      <c r="A417" s="109" t="s">
        <v>81</v>
      </c>
      <c r="B417" s="110"/>
      <c r="C417" s="110"/>
      <c r="D417" s="110"/>
      <c r="E417" s="104"/>
      <c r="F417" s="105"/>
      <c r="G417" s="105"/>
      <c r="H417" s="126">
        <f>6662.15*5.8108</f>
        <v>38712.421220000004</v>
      </c>
      <c r="I417" s="127"/>
      <c r="J417" s="126"/>
      <c r="K417" s="126"/>
      <c r="L417" s="127"/>
      <c r="M417" s="126"/>
      <c r="N417" s="126"/>
      <c r="O417" s="127"/>
      <c r="P417" s="126"/>
      <c r="Q417" s="126"/>
      <c r="R417" s="127"/>
      <c r="S417" s="126"/>
      <c r="T417" s="127"/>
      <c r="U417" s="126">
        <f>6662.15*5.8108</f>
        <v>38712.421220000004</v>
      </c>
    </row>
    <row r="418" spans="1:21" s="56" customFormat="1" x14ac:dyDescent="0.2">
      <c r="A418" s="109" t="s">
        <v>82</v>
      </c>
      <c r="B418" s="110"/>
      <c r="C418" s="110"/>
      <c r="D418" s="110"/>
      <c r="E418" s="104"/>
      <c r="F418" s="105"/>
      <c r="G418" s="105"/>
      <c r="H418" s="128">
        <f>6662.15*5.8108</f>
        <v>38712.421220000004</v>
      </c>
      <c r="I418" s="127"/>
      <c r="J418" s="128"/>
      <c r="K418" s="128"/>
      <c r="L418" s="127"/>
      <c r="M418" s="128"/>
      <c r="N418" s="128"/>
      <c r="O418" s="127"/>
      <c r="P418" s="128"/>
      <c r="Q418" s="128"/>
      <c r="R418" s="127"/>
      <c r="S418" s="128"/>
      <c r="T418" s="127"/>
      <c r="U418" s="128">
        <f>6662.15*5.8108</f>
        <v>38712.421220000004</v>
      </c>
    </row>
    <row r="419" spans="1:21" s="56" customFormat="1" ht="22.5" customHeight="1" x14ac:dyDescent="0.2">
      <c r="A419" s="96" t="s">
        <v>418</v>
      </c>
      <c r="B419" s="97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</row>
    <row r="420" spans="1:21" s="56" customFormat="1" ht="19.149999999999999" customHeight="1" x14ac:dyDescent="0.2">
      <c r="A420" s="98" t="s">
        <v>419</v>
      </c>
      <c r="B420" s="99"/>
      <c r="C420" s="99"/>
      <c r="D420" s="99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</row>
    <row r="421" spans="1:21" s="56" customFormat="1" ht="76.5" x14ac:dyDescent="0.2">
      <c r="A421" s="113">
        <v>141</v>
      </c>
      <c r="B421" s="114" t="s">
        <v>420</v>
      </c>
      <c r="C421" s="115" t="s">
        <v>377</v>
      </c>
      <c r="D421" s="116" t="s">
        <v>378</v>
      </c>
      <c r="E421" s="117" t="s">
        <v>380</v>
      </c>
      <c r="F421" s="118">
        <v>81645.62</v>
      </c>
      <c r="G421" s="118">
        <v>1.5651999999999999</v>
      </c>
      <c r="H421" s="119">
        <v>127791.72</v>
      </c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19">
        <v>1.5651999999999999</v>
      </c>
      <c r="U421" s="119">
        <v>127791.72</v>
      </c>
    </row>
    <row r="422" spans="1:21" s="56" customFormat="1" ht="89.25" x14ac:dyDescent="0.2">
      <c r="A422" s="113">
        <v>142</v>
      </c>
      <c r="B422" s="114" t="s">
        <v>421</v>
      </c>
      <c r="C422" s="115" t="s">
        <v>384</v>
      </c>
      <c r="D422" s="116" t="s">
        <v>255</v>
      </c>
      <c r="E422" s="117" t="s">
        <v>310</v>
      </c>
      <c r="F422" s="118">
        <v>49.56</v>
      </c>
      <c r="G422" s="120">
        <v>285</v>
      </c>
      <c r="H422" s="119">
        <v>14124.6</v>
      </c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19">
        <v>285</v>
      </c>
      <c r="U422" s="119">
        <v>14124.6</v>
      </c>
    </row>
    <row r="423" spans="1:21" s="56" customFormat="1" ht="89.25" x14ac:dyDescent="0.2">
      <c r="A423" s="113">
        <v>143</v>
      </c>
      <c r="B423" s="114" t="s">
        <v>422</v>
      </c>
      <c r="C423" s="115" t="s">
        <v>423</v>
      </c>
      <c r="D423" s="116" t="s">
        <v>255</v>
      </c>
      <c r="E423" s="117" t="s">
        <v>388</v>
      </c>
      <c r="F423" s="118">
        <v>170.94</v>
      </c>
      <c r="G423" s="120">
        <v>57</v>
      </c>
      <c r="H423" s="119">
        <v>9743.58</v>
      </c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19">
        <v>57</v>
      </c>
      <c r="U423" s="119">
        <v>9743.58</v>
      </c>
    </row>
    <row r="424" spans="1:21" s="56" customFormat="1" ht="38.25" x14ac:dyDescent="0.2">
      <c r="A424" s="113">
        <v>144</v>
      </c>
      <c r="B424" s="114" t="s">
        <v>424</v>
      </c>
      <c r="C424" s="115" t="s">
        <v>425</v>
      </c>
      <c r="D424" s="116" t="s">
        <v>426</v>
      </c>
      <c r="E424" s="117" t="s">
        <v>388</v>
      </c>
      <c r="F424" s="118">
        <v>97.41</v>
      </c>
      <c r="G424" s="120">
        <v>5</v>
      </c>
      <c r="H424" s="119">
        <v>487.05</v>
      </c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19">
        <v>5</v>
      </c>
      <c r="U424" s="119">
        <v>487.05</v>
      </c>
    </row>
    <row r="425" spans="1:21" s="56" customFormat="1" ht="38.25" x14ac:dyDescent="0.2">
      <c r="A425" s="113">
        <v>145</v>
      </c>
      <c r="B425" s="114" t="s">
        <v>427</v>
      </c>
      <c r="C425" s="115" t="s">
        <v>428</v>
      </c>
      <c r="D425" s="116" t="s">
        <v>429</v>
      </c>
      <c r="E425" s="117" t="s">
        <v>388</v>
      </c>
      <c r="F425" s="118">
        <v>18.62</v>
      </c>
      <c r="G425" s="120">
        <v>48</v>
      </c>
      <c r="H425" s="119">
        <v>893.76</v>
      </c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19">
        <v>48</v>
      </c>
      <c r="U425" s="119">
        <v>893.76</v>
      </c>
    </row>
    <row r="426" spans="1:21" s="56" customFormat="1" x14ac:dyDescent="0.2">
      <c r="A426" s="109" t="s">
        <v>75</v>
      </c>
      <c r="B426" s="110"/>
      <c r="C426" s="110"/>
      <c r="D426" s="110"/>
      <c r="E426" s="104"/>
      <c r="F426" s="105"/>
      <c r="G426" s="105"/>
      <c r="H426" s="106"/>
      <c r="I426" s="107"/>
      <c r="J426" s="106"/>
      <c r="K426" s="106"/>
      <c r="L426" s="107"/>
      <c r="M426" s="106"/>
      <c r="N426" s="106"/>
      <c r="O426" s="107"/>
      <c r="P426" s="106"/>
      <c r="Q426" s="106"/>
      <c r="R426" s="107"/>
      <c r="S426" s="106"/>
      <c r="T426" s="107"/>
      <c r="U426" s="106"/>
    </row>
    <row r="427" spans="1:21" s="56" customFormat="1" outlineLevel="1" x14ac:dyDescent="0.2">
      <c r="A427" s="111" t="s">
        <v>76</v>
      </c>
      <c r="B427" s="110"/>
      <c r="C427" s="110"/>
      <c r="D427" s="110"/>
      <c r="E427" s="104"/>
      <c r="F427" s="105"/>
      <c r="G427" s="105"/>
      <c r="H427" s="106"/>
      <c r="I427" s="107"/>
      <c r="J427" s="106"/>
      <c r="K427" s="106"/>
      <c r="L427" s="107"/>
      <c r="M427" s="106"/>
      <c r="N427" s="106"/>
      <c r="O427" s="107"/>
      <c r="P427" s="106"/>
      <c r="Q427" s="106"/>
      <c r="R427" s="107"/>
      <c r="S427" s="106"/>
      <c r="T427" s="107"/>
      <c r="U427" s="106"/>
    </row>
    <row r="428" spans="1:21" s="56" customFormat="1" outlineLevel="1" x14ac:dyDescent="0.2">
      <c r="A428" s="111" t="s">
        <v>77</v>
      </c>
      <c r="B428" s="110"/>
      <c r="C428" s="110"/>
      <c r="D428" s="110"/>
      <c r="E428" s="104"/>
      <c r="F428" s="105"/>
      <c r="G428" s="105"/>
      <c r="H428" s="106"/>
      <c r="I428" s="107"/>
      <c r="J428" s="106"/>
      <c r="K428" s="106"/>
      <c r="L428" s="107"/>
      <c r="M428" s="106"/>
      <c r="N428" s="106"/>
      <c r="O428" s="107"/>
      <c r="P428" s="106"/>
      <c r="Q428" s="106"/>
      <c r="R428" s="107"/>
      <c r="S428" s="106"/>
      <c r="T428" s="107"/>
      <c r="U428" s="106"/>
    </row>
    <row r="429" spans="1:21" s="56" customFormat="1" outlineLevel="1" x14ac:dyDescent="0.2">
      <c r="A429" s="111" t="s">
        <v>78</v>
      </c>
      <c r="B429" s="110"/>
      <c r="C429" s="110"/>
      <c r="D429" s="110"/>
      <c r="E429" s="104"/>
      <c r="F429" s="105"/>
      <c r="G429" s="105"/>
      <c r="H429" s="106"/>
      <c r="I429" s="107"/>
      <c r="J429" s="106"/>
      <c r="K429" s="106"/>
      <c r="L429" s="107"/>
      <c r="M429" s="106"/>
      <c r="N429" s="106"/>
      <c r="O429" s="107"/>
      <c r="P429" s="106"/>
      <c r="Q429" s="106"/>
      <c r="R429" s="107"/>
      <c r="S429" s="106"/>
      <c r="T429" s="107"/>
      <c r="U429" s="106"/>
    </row>
    <row r="430" spans="1:21" s="56" customFormat="1" x14ac:dyDescent="0.2">
      <c r="A430" s="109" t="s">
        <v>79</v>
      </c>
      <c r="B430" s="110"/>
      <c r="C430" s="110"/>
      <c r="D430" s="110"/>
      <c r="E430" s="104"/>
      <c r="F430" s="105"/>
      <c r="G430" s="105"/>
      <c r="H430" s="106"/>
      <c r="I430" s="107"/>
      <c r="J430" s="106"/>
      <c r="K430" s="106"/>
      <c r="L430" s="107"/>
      <c r="M430" s="106"/>
      <c r="N430" s="106"/>
      <c r="O430" s="107"/>
      <c r="P430" s="106"/>
      <c r="Q430" s="106"/>
      <c r="R430" s="107"/>
      <c r="S430" s="106"/>
      <c r="T430" s="107"/>
      <c r="U430" s="106"/>
    </row>
    <row r="431" spans="1:21" s="56" customFormat="1" x14ac:dyDescent="0.2">
      <c r="A431" s="109" t="s">
        <v>80</v>
      </c>
      <c r="B431" s="110"/>
      <c r="C431" s="110"/>
      <c r="D431" s="110"/>
      <c r="E431" s="104"/>
      <c r="F431" s="105"/>
      <c r="G431" s="105"/>
      <c r="H431" s="106"/>
      <c r="I431" s="107"/>
      <c r="J431" s="106"/>
      <c r="K431" s="106"/>
      <c r="L431" s="107"/>
      <c r="M431" s="106"/>
      <c r="N431" s="106"/>
      <c r="O431" s="107"/>
      <c r="P431" s="106"/>
      <c r="Q431" s="106"/>
      <c r="R431" s="107"/>
      <c r="S431" s="106"/>
      <c r="T431" s="107"/>
      <c r="U431" s="106"/>
    </row>
    <row r="432" spans="1:21" s="56" customFormat="1" x14ac:dyDescent="0.2">
      <c r="A432" s="109" t="s">
        <v>81</v>
      </c>
      <c r="B432" s="110"/>
      <c r="C432" s="110"/>
      <c r="D432" s="110"/>
      <c r="E432" s="104"/>
      <c r="F432" s="105"/>
      <c r="G432" s="105"/>
      <c r="H432" s="106"/>
      <c r="I432" s="107"/>
      <c r="J432" s="106"/>
      <c r="K432" s="106"/>
      <c r="L432" s="107"/>
      <c r="M432" s="106"/>
      <c r="N432" s="106"/>
      <c r="O432" s="107"/>
      <c r="P432" s="106"/>
      <c r="Q432" s="106"/>
      <c r="R432" s="107"/>
      <c r="S432" s="106"/>
      <c r="T432" s="107"/>
      <c r="U432" s="106"/>
    </row>
    <row r="433" spans="1:21" s="56" customFormat="1" x14ac:dyDescent="0.2">
      <c r="A433" s="109" t="s">
        <v>82</v>
      </c>
      <c r="B433" s="110"/>
      <c r="C433" s="110"/>
      <c r="D433" s="110"/>
      <c r="E433" s="104"/>
      <c r="F433" s="105"/>
      <c r="G433" s="105"/>
      <c r="H433" s="112"/>
      <c r="I433" s="107"/>
      <c r="J433" s="112"/>
      <c r="K433" s="112"/>
      <c r="L433" s="107"/>
      <c r="M433" s="112"/>
      <c r="N433" s="112"/>
      <c r="O433" s="107"/>
      <c r="P433" s="112"/>
      <c r="Q433" s="112"/>
      <c r="R433" s="107"/>
      <c r="S433" s="112"/>
      <c r="T433" s="107"/>
      <c r="U433" s="112"/>
    </row>
    <row r="434" spans="1:21" s="56" customFormat="1" ht="22.5" customHeight="1" x14ac:dyDescent="0.2">
      <c r="A434" s="96" t="s">
        <v>430</v>
      </c>
      <c r="B434" s="97"/>
      <c r="C434" s="97"/>
      <c r="D434" s="97"/>
      <c r="E434" s="9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</row>
    <row r="435" spans="1:21" s="56" customFormat="1" ht="19.149999999999999" customHeight="1" x14ac:dyDescent="0.2">
      <c r="A435" s="98" t="s">
        <v>431</v>
      </c>
      <c r="B435" s="99"/>
      <c r="C435" s="99"/>
      <c r="D435" s="99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</row>
    <row r="436" spans="1:21" s="56" customFormat="1" ht="38.25" x14ac:dyDescent="0.2">
      <c r="A436" s="100">
        <v>146</v>
      </c>
      <c r="B436" s="101" t="s">
        <v>432</v>
      </c>
      <c r="C436" s="102" t="s">
        <v>433</v>
      </c>
      <c r="D436" s="103" t="s">
        <v>434</v>
      </c>
      <c r="E436" s="104" t="s">
        <v>88</v>
      </c>
      <c r="F436" s="105">
        <v>193.55</v>
      </c>
      <c r="G436" s="108">
        <v>12</v>
      </c>
      <c r="H436" s="106">
        <v>2322.6</v>
      </c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6">
        <v>12</v>
      </c>
      <c r="U436" s="106">
        <v>2322.6</v>
      </c>
    </row>
    <row r="437" spans="1:21" s="56" customFormat="1" ht="51" x14ac:dyDescent="0.2">
      <c r="A437" s="100">
        <v>147</v>
      </c>
      <c r="B437" s="101" t="s">
        <v>435</v>
      </c>
      <c r="C437" s="102" t="s">
        <v>436</v>
      </c>
      <c r="D437" s="103" t="s">
        <v>434</v>
      </c>
      <c r="E437" s="104" t="s">
        <v>88</v>
      </c>
      <c r="F437" s="105">
        <v>193.55</v>
      </c>
      <c r="G437" s="108">
        <v>11</v>
      </c>
      <c r="H437" s="106">
        <v>2129.0500000000002</v>
      </c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6">
        <v>11</v>
      </c>
      <c r="U437" s="106">
        <v>2129.0500000000002</v>
      </c>
    </row>
    <row r="438" spans="1:21" s="56" customFormat="1" x14ac:dyDescent="0.2">
      <c r="A438" s="109" t="s">
        <v>75</v>
      </c>
      <c r="B438" s="110"/>
      <c r="C438" s="110"/>
      <c r="D438" s="110"/>
      <c r="E438" s="104"/>
      <c r="F438" s="105"/>
      <c r="G438" s="105"/>
      <c r="H438" s="126">
        <v>6137.42</v>
      </c>
      <c r="I438" s="127"/>
      <c r="J438" s="126"/>
      <c r="K438" s="126"/>
      <c r="L438" s="127"/>
      <c r="M438" s="126"/>
      <c r="N438" s="126"/>
      <c r="O438" s="127"/>
      <c r="P438" s="126"/>
      <c r="Q438" s="126"/>
      <c r="R438" s="127"/>
      <c r="S438" s="126"/>
      <c r="T438" s="127"/>
      <c r="U438" s="126">
        <f>H438</f>
        <v>6137.42</v>
      </c>
    </row>
    <row r="439" spans="1:21" s="56" customFormat="1" outlineLevel="1" x14ac:dyDescent="0.2">
      <c r="A439" s="111" t="s">
        <v>76</v>
      </c>
      <c r="B439" s="110"/>
      <c r="C439" s="110"/>
      <c r="D439" s="110"/>
      <c r="E439" s="104"/>
      <c r="F439" s="105"/>
      <c r="G439" s="105"/>
      <c r="H439" s="126">
        <f>15.41*5.8108</f>
        <v>89.544428000000011</v>
      </c>
      <c r="I439" s="127"/>
      <c r="J439" s="126"/>
      <c r="K439" s="126"/>
      <c r="L439" s="127"/>
      <c r="M439" s="126"/>
      <c r="N439" s="126"/>
      <c r="O439" s="127"/>
      <c r="P439" s="126"/>
      <c r="Q439" s="126"/>
      <c r="R439" s="127"/>
      <c r="S439" s="126"/>
      <c r="T439" s="127"/>
      <c r="U439" s="126">
        <f t="shared" ref="U439:U445" si="6">H439</f>
        <v>89.544428000000011</v>
      </c>
    </row>
    <row r="440" spans="1:21" s="56" customFormat="1" outlineLevel="1" x14ac:dyDescent="0.2">
      <c r="A440" s="111" t="s">
        <v>77</v>
      </c>
      <c r="B440" s="110"/>
      <c r="C440" s="110"/>
      <c r="D440" s="110"/>
      <c r="E440" s="104"/>
      <c r="F440" s="105"/>
      <c r="G440" s="105"/>
      <c r="H440" s="126">
        <f>5053.64*5.8108</f>
        <v>29365.691312000003</v>
      </c>
      <c r="I440" s="127"/>
      <c r="J440" s="126"/>
      <c r="K440" s="126"/>
      <c r="L440" s="127"/>
      <c r="M440" s="126"/>
      <c r="N440" s="126"/>
      <c r="O440" s="127"/>
      <c r="P440" s="126"/>
      <c r="Q440" s="126"/>
      <c r="R440" s="127"/>
      <c r="S440" s="126"/>
      <c r="T440" s="127"/>
      <c r="U440" s="126">
        <f t="shared" si="6"/>
        <v>29365.691312000003</v>
      </c>
    </row>
    <row r="441" spans="1:21" s="56" customFormat="1" outlineLevel="1" x14ac:dyDescent="0.2">
      <c r="A441" s="111" t="s">
        <v>78</v>
      </c>
      <c r="B441" s="110"/>
      <c r="C441" s="110"/>
      <c r="D441" s="110"/>
      <c r="E441" s="104"/>
      <c r="F441" s="105"/>
      <c r="G441" s="105"/>
      <c r="H441" s="126">
        <f>1365.45*5.8108</f>
        <v>7934.3568600000008</v>
      </c>
      <c r="I441" s="127"/>
      <c r="J441" s="126"/>
      <c r="K441" s="126"/>
      <c r="L441" s="127"/>
      <c r="M441" s="126"/>
      <c r="N441" s="126"/>
      <c r="O441" s="127"/>
      <c r="P441" s="126"/>
      <c r="Q441" s="126"/>
      <c r="R441" s="127"/>
      <c r="S441" s="126"/>
      <c r="T441" s="127"/>
      <c r="U441" s="126">
        <f t="shared" si="6"/>
        <v>7934.3568600000008</v>
      </c>
    </row>
    <row r="442" spans="1:21" s="56" customFormat="1" x14ac:dyDescent="0.2">
      <c r="A442" s="109" t="s">
        <v>79</v>
      </c>
      <c r="B442" s="110"/>
      <c r="C442" s="110"/>
      <c r="D442" s="110"/>
      <c r="E442" s="104"/>
      <c r="F442" s="105"/>
      <c r="G442" s="105"/>
      <c r="H442" s="126">
        <f>1297.18*5.8108</f>
        <v>7537.6535440000007</v>
      </c>
      <c r="I442" s="127"/>
      <c r="J442" s="126"/>
      <c r="K442" s="126"/>
      <c r="L442" s="127"/>
      <c r="M442" s="126"/>
      <c r="N442" s="126"/>
      <c r="O442" s="127"/>
      <c r="P442" s="126"/>
      <c r="Q442" s="126"/>
      <c r="R442" s="127"/>
      <c r="S442" s="126"/>
      <c r="T442" s="127"/>
      <c r="U442" s="126">
        <f t="shared" si="6"/>
        <v>7537.6535440000007</v>
      </c>
    </row>
    <row r="443" spans="1:21" s="56" customFormat="1" x14ac:dyDescent="0.2">
      <c r="A443" s="109" t="s">
        <v>80</v>
      </c>
      <c r="B443" s="110"/>
      <c r="C443" s="110"/>
      <c r="D443" s="110"/>
      <c r="E443" s="104"/>
      <c r="F443" s="105"/>
      <c r="G443" s="105"/>
      <c r="H443" s="126">
        <f>887.54*5.8108</f>
        <v>5157.3174319999998</v>
      </c>
      <c r="I443" s="127"/>
      <c r="J443" s="126"/>
      <c r="K443" s="126"/>
      <c r="L443" s="127"/>
      <c r="M443" s="126"/>
      <c r="N443" s="126"/>
      <c r="O443" s="127"/>
      <c r="P443" s="126"/>
      <c r="Q443" s="126"/>
      <c r="R443" s="127"/>
      <c r="S443" s="126"/>
      <c r="T443" s="127"/>
      <c r="U443" s="126">
        <f t="shared" si="6"/>
        <v>5157.3174319999998</v>
      </c>
    </row>
    <row r="444" spans="1:21" s="56" customFormat="1" x14ac:dyDescent="0.2">
      <c r="A444" s="109" t="s">
        <v>81</v>
      </c>
      <c r="B444" s="110"/>
      <c r="C444" s="110"/>
      <c r="D444" s="110"/>
      <c r="E444" s="104"/>
      <c r="F444" s="105"/>
      <c r="G444" s="105"/>
      <c r="H444" s="126">
        <f>8322.14*5.8108</f>
        <v>48358.291111999999</v>
      </c>
      <c r="I444" s="127"/>
      <c r="J444" s="126"/>
      <c r="K444" s="126"/>
      <c r="L444" s="127"/>
      <c r="M444" s="126"/>
      <c r="N444" s="126"/>
      <c r="O444" s="127"/>
      <c r="P444" s="126"/>
      <c r="Q444" s="126"/>
      <c r="R444" s="127"/>
      <c r="S444" s="126"/>
      <c r="T444" s="127"/>
      <c r="U444" s="126">
        <f t="shared" si="6"/>
        <v>48358.291111999999</v>
      </c>
    </row>
    <row r="445" spans="1:21" s="56" customFormat="1" x14ac:dyDescent="0.2">
      <c r="A445" s="109" t="s">
        <v>82</v>
      </c>
      <c r="B445" s="110"/>
      <c r="C445" s="110"/>
      <c r="D445" s="110"/>
      <c r="E445" s="104"/>
      <c r="F445" s="105"/>
      <c r="G445" s="105"/>
      <c r="H445" s="128">
        <f>8322.14*5.8108</f>
        <v>48358.291111999999</v>
      </c>
      <c r="I445" s="127"/>
      <c r="J445" s="128"/>
      <c r="K445" s="128"/>
      <c r="L445" s="127"/>
      <c r="M445" s="128"/>
      <c r="N445" s="128"/>
      <c r="O445" s="127"/>
      <c r="P445" s="128"/>
      <c r="Q445" s="128"/>
      <c r="R445" s="127"/>
      <c r="S445" s="128"/>
      <c r="T445" s="127"/>
      <c r="U445" s="128">
        <f t="shared" si="6"/>
        <v>48358.291111999999</v>
      </c>
    </row>
    <row r="446" spans="1:21" s="56" customFormat="1" ht="22.5" customHeight="1" x14ac:dyDescent="0.2">
      <c r="A446" s="96" t="s">
        <v>437</v>
      </c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</row>
    <row r="447" spans="1:21" s="56" customFormat="1" ht="19.149999999999999" customHeight="1" x14ac:dyDescent="0.2">
      <c r="A447" s="98" t="s">
        <v>431</v>
      </c>
      <c r="B447" s="99"/>
      <c r="C447" s="99"/>
      <c r="D447" s="99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</row>
    <row r="448" spans="1:21" s="56" customFormat="1" ht="38.25" x14ac:dyDescent="0.2">
      <c r="A448" s="113">
        <v>148</v>
      </c>
      <c r="B448" s="114" t="s">
        <v>438</v>
      </c>
      <c r="C448" s="115" t="s">
        <v>439</v>
      </c>
      <c r="D448" s="116" t="s">
        <v>440</v>
      </c>
      <c r="E448" s="117" t="s">
        <v>88</v>
      </c>
      <c r="F448" s="118">
        <v>129.37</v>
      </c>
      <c r="G448" s="120">
        <v>48</v>
      </c>
      <c r="H448" s="119">
        <v>6209.76</v>
      </c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19">
        <v>48</v>
      </c>
      <c r="U448" s="119">
        <v>6209.76</v>
      </c>
    </row>
    <row r="449" spans="1:21" s="56" customFormat="1" ht="19.149999999999999" customHeight="1" x14ac:dyDescent="0.2">
      <c r="A449" s="98" t="s">
        <v>441</v>
      </c>
      <c r="B449" s="99"/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</row>
    <row r="450" spans="1:21" s="56" customFormat="1" ht="51" x14ac:dyDescent="0.2">
      <c r="A450" s="100">
        <v>149</v>
      </c>
      <c r="B450" s="101" t="s">
        <v>442</v>
      </c>
      <c r="C450" s="102" t="s">
        <v>443</v>
      </c>
      <c r="D450" s="103" t="s">
        <v>445</v>
      </c>
      <c r="E450" s="104" t="s">
        <v>88</v>
      </c>
      <c r="F450" s="105">
        <v>1617.07</v>
      </c>
      <c r="G450" s="108">
        <v>2</v>
      </c>
      <c r="H450" s="106">
        <v>3234.14</v>
      </c>
      <c r="I450" s="106">
        <v>2</v>
      </c>
      <c r="J450" s="106">
        <v>3234.14</v>
      </c>
      <c r="K450" s="106">
        <v>3234.14</v>
      </c>
      <c r="L450" s="107"/>
      <c r="M450" s="107"/>
      <c r="N450" s="107"/>
      <c r="O450" s="107"/>
      <c r="P450" s="107"/>
      <c r="Q450" s="107"/>
      <c r="R450" s="106">
        <v>2</v>
      </c>
      <c r="S450" s="106">
        <v>3234.14</v>
      </c>
      <c r="T450" s="107"/>
      <c r="U450" s="106"/>
    </row>
    <row r="451" spans="1:21" s="56" customFormat="1" x14ac:dyDescent="0.2">
      <c r="A451" s="109" t="s">
        <v>75</v>
      </c>
      <c r="B451" s="110"/>
      <c r="C451" s="110"/>
      <c r="D451" s="110"/>
      <c r="E451" s="104"/>
      <c r="F451" s="105"/>
      <c r="G451" s="105"/>
      <c r="H451" s="126">
        <f>3840.11*5.8108</f>
        <v>22314.111188000003</v>
      </c>
      <c r="I451" s="127"/>
      <c r="J451" s="126">
        <f>H451</f>
        <v>22314.111188000003</v>
      </c>
      <c r="K451" s="126">
        <f>J451</f>
        <v>22314.111188000003</v>
      </c>
      <c r="L451" s="127"/>
      <c r="M451" s="126"/>
      <c r="N451" s="126">
        <f>K451</f>
        <v>22314.111188000003</v>
      </c>
      <c r="O451" s="127"/>
      <c r="P451" s="126"/>
      <c r="Q451" s="126">
        <f>N451</f>
        <v>22314.111188000003</v>
      </c>
      <c r="R451" s="127"/>
      <c r="S451" s="126">
        <f>Q451</f>
        <v>22314.111188000003</v>
      </c>
      <c r="T451" s="107"/>
      <c r="U451" s="106"/>
    </row>
    <row r="452" spans="1:21" s="56" customFormat="1" outlineLevel="1" x14ac:dyDescent="0.2">
      <c r="A452" s="111" t="s">
        <v>76</v>
      </c>
      <c r="B452" s="110"/>
      <c r="C452" s="110"/>
      <c r="D452" s="110"/>
      <c r="E452" s="104"/>
      <c r="F452" s="105"/>
      <c r="G452" s="105"/>
      <c r="H452" s="126">
        <f>1639.46*5.8108</f>
        <v>9526.574168000001</v>
      </c>
      <c r="I452" s="127"/>
      <c r="J452" s="126">
        <f t="shared" ref="J452:J458" si="7">H452</f>
        <v>9526.574168000001</v>
      </c>
      <c r="K452" s="126">
        <f t="shared" ref="K452:K458" si="8">J452</f>
        <v>9526.574168000001</v>
      </c>
      <c r="L452" s="127"/>
      <c r="M452" s="126"/>
      <c r="N452" s="126">
        <f t="shared" ref="N452:N458" si="9">K452</f>
        <v>9526.574168000001</v>
      </c>
      <c r="O452" s="127"/>
      <c r="P452" s="126"/>
      <c r="Q452" s="126">
        <f t="shared" ref="Q452:Q458" si="10">N452</f>
        <v>9526.574168000001</v>
      </c>
      <c r="R452" s="127"/>
      <c r="S452" s="126">
        <f t="shared" ref="S452:S458" si="11">Q452</f>
        <v>9526.574168000001</v>
      </c>
      <c r="T452" s="107"/>
      <c r="U452" s="106"/>
    </row>
    <row r="453" spans="1:21" s="56" customFormat="1" outlineLevel="1" x14ac:dyDescent="0.2">
      <c r="A453" s="111" t="s">
        <v>77</v>
      </c>
      <c r="B453" s="110"/>
      <c r="C453" s="110"/>
      <c r="D453" s="110"/>
      <c r="E453" s="104"/>
      <c r="F453" s="105"/>
      <c r="G453" s="105"/>
      <c r="H453" s="126">
        <f>1645.81*5.8108</f>
        <v>9563.4727480000001</v>
      </c>
      <c r="I453" s="127"/>
      <c r="J453" s="126">
        <f t="shared" si="7"/>
        <v>9563.4727480000001</v>
      </c>
      <c r="K453" s="126">
        <f t="shared" si="8"/>
        <v>9563.4727480000001</v>
      </c>
      <c r="L453" s="127"/>
      <c r="M453" s="126"/>
      <c r="N453" s="126">
        <f t="shared" si="9"/>
        <v>9563.4727480000001</v>
      </c>
      <c r="O453" s="127"/>
      <c r="P453" s="126"/>
      <c r="Q453" s="126">
        <f t="shared" si="10"/>
        <v>9563.4727480000001</v>
      </c>
      <c r="R453" s="127"/>
      <c r="S453" s="126">
        <f t="shared" si="11"/>
        <v>9563.4727480000001</v>
      </c>
      <c r="T453" s="107"/>
      <c r="U453" s="106"/>
    </row>
    <row r="454" spans="1:21" s="56" customFormat="1" outlineLevel="1" x14ac:dyDescent="0.2">
      <c r="A454" s="111" t="s">
        <v>78</v>
      </c>
      <c r="B454" s="110"/>
      <c r="C454" s="110"/>
      <c r="D454" s="110"/>
      <c r="E454" s="104"/>
      <c r="F454" s="105"/>
      <c r="G454" s="105"/>
      <c r="H454" s="126">
        <f>674.35*5.8108</f>
        <v>3918.5129800000004</v>
      </c>
      <c r="I454" s="127"/>
      <c r="J454" s="126">
        <f t="shared" si="7"/>
        <v>3918.5129800000004</v>
      </c>
      <c r="K454" s="126">
        <f t="shared" si="8"/>
        <v>3918.5129800000004</v>
      </c>
      <c r="L454" s="127"/>
      <c r="M454" s="126"/>
      <c r="N454" s="126">
        <f t="shared" si="9"/>
        <v>3918.5129800000004</v>
      </c>
      <c r="O454" s="127"/>
      <c r="P454" s="126"/>
      <c r="Q454" s="126">
        <f t="shared" si="10"/>
        <v>3918.5129800000004</v>
      </c>
      <c r="R454" s="127"/>
      <c r="S454" s="126">
        <f t="shared" si="11"/>
        <v>3918.5129800000004</v>
      </c>
      <c r="T454" s="107"/>
      <c r="U454" s="106"/>
    </row>
    <row r="455" spans="1:21" s="56" customFormat="1" x14ac:dyDescent="0.2">
      <c r="A455" s="109" t="s">
        <v>79</v>
      </c>
      <c r="B455" s="110"/>
      <c r="C455" s="110"/>
      <c r="D455" s="110"/>
      <c r="E455" s="104"/>
      <c r="F455" s="105"/>
      <c r="G455" s="105"/>
      <c r="H455" s="126">
        <f>640.63*5.8108</f>
        <v>3722.5728040000004</v>
      </c>
      <c r="I455" s="127"/>
      <c r="J455" s="126">
        <f t="shared" si="7"/>
        <v>3722.5728040000004</v>
      </c>
      <c r="K455" s="126">
        <f t="shared" si="8"/>
        <v>3722.5728040000004</v>
      </c>
      <c r="L455" s="127"/>
      <c r="M455" s="126"/>
      <c r="N455" s="126">
        <f t="shared" si="9"/>
        <v>3722.5728040000004</v>
      </c>
      <c r="O455" s="127"/>
      <c r="P455" s="126"/>
      <c r="Q455" s="126">
        <f t="shared" si="10"/>
        <v>3722.5728040000004</v>
      </c>
      <c r="R455" s="127"/>
      <c r="S455" s="126">
        <f t="shared" si="11"/>
        <v>3722.5728040000004</v>
      </c>
      <c r="T455" s="107"/>
      <c r="U455" s="106"/>
    </row>
    <row r="456" spans="1:21" s="56" customFormat="1" x14ac:dyDescent="0.2">
      <c r="A456" s="109" t="s">
        <v>80</v>
      </c>
      <c r="B456" s="110"/>
      <c r="C456" s="110"/>
      <c r="D456" s="110"/>
      <c r="E456" s="104"/>
      <c r="F456" s="105"/>
      <c r="G456" s="105"/>
      <c r="H456" s="126">
        <f>438.33*5.8108</f>
        <v>2547.0479639999999</v>
      </c>
      <c r="I456" s="127"/>
      <c r="J456" s="126">
        <f t="shared" si="7"/>
        <v>2547.0479639999999</v>
      </c>
      <c r="K456" s="126">
        <f t="shared" si="8"/>
        <v>2547.0479639999999</v>
      </c>
      <c r="L456" s="127"/>
      <c r="M456" s="126"/>
      <c r="N456" s="126">
        <f t="shared" si="9"/>
        <v>2547.0479639999999</v>
      </c>
      <c r="O456" s="127"/>
      <c r="P456" s="126"/>
      <c r="Q456" s="126">
        <f t="shared" si="10"/>
        <v>2547.0479639999999</v>
      </c>
      <c r="R456" s="127"/>
      <c r="S456" s="126">
        <f t="shared" si="11"/>
        <v>2547.0479639999999</v>
      </c>
      <c r="T456" s="107"/>
      <c r="U456" s="106"/>
    </row>
    <row r="457" spans="1:21" s="56" customFormat="1" x14ac:dyDescent="0.2">
      <c r="A457" s="109" t="s">
        <v>81</v>
      </c>
      <c r="B457" s="110"/>
      <c r="C457" s="110"/>
      <c r="D457" s="110"/>
      <c r="E457" s="104"/>
      <c r="F457" s="105"/>
      <c r="G457" s="105"/>
      <c r="H457" s="126">
        <f>4919.07*5.8108</f>
        <v>28583.731956</v>
      </c>
      <c r="I457" s="127"/>
      <c r="J457" s="126">
        <f t="shared" si="7"/>
        <v>28583.731956</v>
      </c>
      <c r="K457" s="126">
        <f t="shared" si="8"/>
        <v>28583.731956</v>
      </c>
      <c r="L457" s="127"/>
      <c r="M457" s="126"/>
      <c r="N457" s="126">
        <f t="shared" si="9"/>
        <v>28583.731956</v>
      </c>
      <c r="O457" s="127"/>
      <c r="P457" s="126"/>
      <c r="Q457" s="126">
        <f t="shared" si="10"/>
        <v>28583.731956</v>
      </c>
      <c r="R457" s="127"/>
      <c r="S457" s="126">
        <f t="shared" si="11"/>
        <v>28583.731956</v>
      </c>
      <c r="T457" s="107"/>
      <c r="U457" s="106"/>
    </row>
    <row r="458" spans="1:21" s="56" customFormat="1" x14ac:dyDescent="0.2">
      <c r="A458" s="109" t="s">
        <v>82</v>
      </c>
      <c r="B458" s="110"/>
      <c r="C458" s="110"/>
      <c r="D458" s="110"/>
      <c r="E458" s="104"/>
      <c r="F458" s="105"/>
      <c r="G458" s="105"/>
      <c r="H458" s="128">
        <f>4919.07*5.8108</f>
        <v>28583.731956</v>
      </c>
      <c r="I458" s="127"/>
      <c r="J458" s="128">
        <f t="shared" si="7"/>
        <v>28583.731956</v>
      </c>
      <c r="K458" s="128">
        <f t="shared" si="8"/>
        <v>28583.731956</v>
      </c>
      <c r="L458" s="127"/>
      <c r="M458" s="128"/>
      <c r="N458" s="128">
        <f t="shared" si="9"/>
        <v>28583.731956</v>
      </c>
      <c r="O458" s="127"/>
      <c r="P458" s="128"/>
      <c r="Q458" s="128">
        <f t="shared" si="10"/>
        <v>28583.731956</v>
      </c>
      <c r="R458" s="127"/>
      <c r="S458" s="128">
        <f t="shared" si="11"/>
        <v>28583.731956</v>
      </c>
      <c r="T458" s="107"/>
      <c r="U458" s="112"/>
    </row>
    <row r="459" spans="1:21" s="56" customFormat="1" ht="22.5" customHeight="1" x14ac:dyDescent="0.2">
      <c r="A459" s="96" t="s">
        <v>446</v>
      </c>
      <c r="B459" s="97"/>
      <c r="C459" s="97"/>
      <c r="D459" s="97"/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</row>
    <row r="460" spans="1:21" s="56" customFormat="1" ht="19.149999999999999" customHeight="1" x14ac:dyDescent="0.2">
      <c r="A460" s="98" t="s">
        <v>431</v>
      </c>
      <c r="B460" s="99"/>
      <c r="C460" s="99"/>
      <c r="D460" s="99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</row>
    <row r="461" spans="1:21" s="56" customFormat="1" ht="38.25" x14ac:dyDescent="0.2">
      <c r="A461" s="100">
        <v>150</v>
      </c>
      <c r="B461" s="101" t="s">
        <v>447</v>
      </c>
      <c r="C461" s="102" t="s">
        <v>439</v>
      </c>
      <c r="D461" s="103" t="s">
        <v>448</v>
      </c>
      <c r="E461" s="104" t="s">
        <v>88</v>
      </c>
      <c r="F461" s="105">
        <v>129.37</v>
      </c>
      <c r="G461" s="108">
        <v>48</v>
      </c>
      <c r="H461" s="106">
        <v>6209.76</v>
      </c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6">
        <v>48</v>
      </c>
      <c r="U461" s="106">
        <v>6209.76</v>
      </c>
    </row>
    <row r="462" spans="1:21" s="56" customFormat="1" ht="19.149999999999999" customHeight="1" x14ac:dyDescent="0.2">
      <c r="A462" s="98" t="s">
        <v>441</v>
      </c>
      <c r="B462" s="99"/>
      <c r="C462" s="99"/>
      <c r="D462" s="99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</row>
    <row r="463" spans="1:21" s="56" customFormat="1" ht="51" x14ac:dyDescent="0.2">
      <c r="A463" s="113">
        <v>151</v>
      </c>
      <c r="B463" s="114" t="s">
        <v>449</v>
      </c>
      <c r="C463" s="115" t="s">
        <v>443</v>
      </c>
      <c r="D463" s="116" t="s">
        <v>444</v>
      </c>
      <c r="E463" s="117" t="s">
        <v>88</v>
      </c>
      <c r="F463" s="118">
        <v>1617.07</v>
      </c>
      <c r="G463" s="120">
        <v>2</v>
      </c>
      <c r="H463" s="119">
        <v>3234.14</v>
      </c>
      <c r="I463" s="119">
        <v>2</v>
      </c>
      <c r="J463" s="119">
        <v>3234.14</v>
      </c>
      <c r="K463" s="119">
        <v>3234.14</v>
      </c>
      <c r="L463" s="107"/>
      <c r="M463" s="107"/>
      <c r="N463" s="107"/>
      <c r="O463" s="107"/>
      <c r="P463" s="107"/>
      <c r="Q463" s="107"/>
      <c r="R463" s="119">
        <v>2</v>
      </c>
      <c r="S463" s="119">
        <v>3234.14</v>
      </c>
      <c r="T463" s="107"/>
      <c r="U463" s="119"/>
    </row>
    <row r="464" spans="1:21" s="56" customFormat="1" x14ac:dyDescent="0.2">
      <c r="A464" s="109" t="s">
        <v>75</v>
      </c>
      <c r="B464" s="110"/>
      <c r="C464" s="110"/>
      <c r="D464" s="110"/>
      <c r="E464" s="104"/>
      <c r="F464" s="105"/>
      <c r="G464" s="105"/>
      <c r="H464" s="126">
        <f>7689.56*5.8108</f>
        <v>44682.495248000007</v>
      </c>
      <c r="I464" s="127"/>
      <c r="J464" s="126"/>
      <c r="K464" s="126"/>
      <c r="L464" s="127"/>
      <c r="M464" s="126"/>
      <c r="N464" s="126"/>
      <c r="O464" s="127"/>
      <c r="P464" s="126"/>
      <c r="Q464" s="126"/>
      <c r="R464" s="127"/>
      <c r="S464" s="126"/>
      <c r="T464" s="127"/>
      <c r="U464" s="126">
        <f>H464</f>
        <v>44682.495248000007</v>
      </c>
    </row>
    <row r="465" spans="1:21" s="56" customFormat="1" outlineLevel="1" x14ac:dyDescent="0.2">
      <c r="A465" s="111" t="s">
        <v>76</v>
      </c>
      <c r="B465" s="110"/>
      <c r="C465" s="110"/>
      <c r="D465" s="110"/>
      <c r="E465" s="104"/>
      <c r="F465" s="105"/>
      <c r="G465" s="105"/>
      <c r="H465" s="126">
        <f>2315.52*5.8108</f>
        <v>13455.023616</v>
      </c>
      <c r="I465" s="127"/>
      <c r="J465" s="126"/>
      <c r="K465" s="126"/>
      <c r="L465" s="127"/>
      <c r="M465" s="126"/>
      <c r="N465" s="126"/>
      <c r="O465" s="127"/>
      <c r="P465" s="126"/>
      <c r="Q465" s="126"/>
      <c r="R465" s="127"/>
      <c r="S465" s="126"/>
      <c r="T465" s="127"/>
      <c r="U465" s="126">
        <f t="shared" ref="U465:U471" si="12">H465</f>
        <v>13455.023616</v>
      </c>
    </row>
    <row r="466" spans="1:21" s="56" customFormat="1" outlineLevel="1" x14ac:dyDescent="0.2">
      <c r="A466" s="111" t="s">
        <v>77</v>
      </c>
      <c r="B466" s="110"/>
      <c r="C466" s="110"/>
      <c r="D466" s="110"/>
      <c r="E466" s="104"/>
      <c r="F466" s="105"/>
      <c r="G466" s="105"/>
      <c r="H466" s="126">
        <f>3949.22*5.8108</f>
        <v>22948.127575999999</v>
      </c>
      <c r="I466" s="127"/>
      <c r="J466" s="126"/>
      <c r="K466" s="126"/>
      <c r="L466" s="127"/>
      <c r="M466" s="126"/>
      <c r="N466" s="126"/>
      <c r="O466" s="127"/>
      <c r="P466" s="126"/>
      <c r="Q466" s="126"/>
      <c r="R466" s="127"/>
      <c r="S466" s="126"/>
      <c r="T466" s="127"/>
      <c r="U466" s="126">
        <f t="shared" si="12"/>
        <v>22948.127575999999</v>
      </c>
    </row>
    <row r="467" spans="1:21" s="56" customFormat="1" outlineLevel="1" x14ac:dyDescent="0.2">
      <c r="A467" s="111" t="s">
        <v>78</v>
      </c>
      <c r="B467" s="110"/>
      <c r="C467" s="110"/>
      <c r="D467" s="110"/>
      <c r="E467" s="104"/>
      <c r="F467" s="105"/>
      <c r="G467" s="105"/>
      <c r="H467" s="126">
        <f>1783.18*5.8108</f>
        <v>10361.702344000001</v>
      </c>
      <c r="I467" s="127"/>
      <c r="J467" s="126"/>
      <c r="K467" s="126"/>
      <c r="L467" s="127"/>
      <c r="M467" s="126"/>
      <c r="N467" s="126"/>
      <c r="O467" s="127"/>
      <c r="P467" s="126"/>
      <c r="Q467" s="126"/>
      <c r="R467" s="127"/>
      <c r="S467" s="126"/>
      <c r="T467" s="127"/>
      <c r="U467" s="126">
        <f t="shared" si="12"/>
        <v>10361.702344000001</v>
      </c>
    </row>
    <row r="468" spans="1:21" s="56" customFormat="1" x14ac:dyDescent="0.2">
      <c r="A468" s="109" t="s">
        <v>79</v>
      </c>
      <c r="B468" s="110"/>
      <c r="C468" s="110"/>
      <c r="D468" s="110"/>
      <c r="E468" s="104"/>
      <c r="F468" s="105"/>
      <c r="G468" s="105"/>
      <c r="H468" s="126">
        <f>1694.02*5.8108</f>
        <v>9843.6114159999997</v>
      </c>
      <c r="I468" s="127"/>
      <c r="J468" s="126"/>
      <c r="K468" s="126"/>
      <c r="L468" s="127"/>
      <c r="M468" s="126"/>
      <c r="N468" s="126"/>
      <c r="O468" s="127"/>
      <c r="P468" s="126"/>
      <c r="Q468" s="126"/>
      <c r="R468" s="127"/>
      <c r="S468" s="126"/>
      <c r="T468" s="127"/>
      <c r="U468" s="126">
        <f t="shared" si="12"/>
        <v>9843.6114159999997</v>
      </c>
    </row>
    <row r="469" spans="1:21" s="56" customFormat="1" x14ac:dyDescent="0.2">
      <c r="A469" s="109" t="s">
        <v>80</v>
      </c>
      <c r="B469" s="110"/>
      <c r="C469" s="110"/>
      <c r="D469" s="110"/>
      <c r="E469" s="104"/>
      <c r="F469" s="105"/>
      <c r="G469" s="105"/>
      <c r="H469" s="126">
        <f>1159.07*5.8108</f>
        <v>6735.1239560000004</v>
      </c>
      <c r="I469" s="127"/>
      <c r="J469" s="126"/>
      <c r="K469" s="126"/>
      <c r="L469" s="127"/>
      <c r="M469" s="126"/>
      <c r="N469" s="126"/>
      <c r="O469" s="127"/>
      <c r="P469" s="126"/>
      <c r="Q469" s="126"/>
      <c r="R469" s="127"/>
      <c r="S469" s="126"/>
      <c r="T469" s="127"/>
      <c r="U469" s="126">
        <f t="shared" si="12"/>
        <v>6735.1239560000004</v>
      </c>
    </row>
    <row r="470" spans="1:21" s="56" customFormat="1" x14ac:dyDescent="0.2">
      <c r="A470" s="109" t="s">
        <v>81</v>
      </c>
      <c r="B470" s="110"/>
      <c r="C470" s="110"/>
      <c r="D470" s="110"/>
      <c r="E470" s="104"/>
      <c r="F470" s="105"/>
      <c r="G470" s="105"/>
      <c r="H470" s="126">
        <f>10542.65*5.8108</f>
        <v>61261.230620000002</v>
      </c>
      <c r="I470" s="127"/>
      <c r="J470" s="126"/>
      <c r="K470" s="126"/>
      <c r="L470" s="127"/>
      <c r="M470" s="126"/>
      <c r="N470" s="126"/>
      <c r="O470" s="127"/>
      <c r="P470" s="126"/>
      <c r="Q470" s="126"/>
      <c r="R470" s="127"/>
      <c r="S470" s="126"/>
      <c r="T470" s="127"/>
      <c r="U470" s="126">
        <f t="shared" si="12"/>
        <v>61261.230620000002</v>
      </c>
    </row>
    <row r="471" spans="1:21" s="56" customFormat="1" x14ac:dyDescent="0.2">
      <c r="A471" s="109" t="s">
        <v>82</v>
      </c>
      <c r="B471" s="110"/>
      <c r="C471" s="110"/>
      <c r="D471" s="110"/>
      <c r="E471" s="104"/>
      <c r="F471" s="105"/>
      <c r="G471" s="105"/>
      <c r="H471" s="128">
        <f>10542.65*5.8108</f>
        <v>61261.230620000002</v>
      </c>
      <c r="I471" s="127"/>
      <c r="J471" s="128"/>
      <c r="K471" s="128"/>
      <c r="L471" s="127"/>
      <c r="M471" s="128"/>
      <c r="N471" s="128"/>
      <c r="O471" s="127"/>
      <c r="P471" s="128"/>
      <c r="Q471" s="128"/>
      <c r="R471" s="127"/>
      <c r="S471" s="128"/>
      <c r="T471" s="127"/>
      <c r="U471" s="128">
        <f t="shared" si="12"/>
        <v>61261.230620000002</v>
      </c>
    </row>
    <row r="472" spans="1:21" s="56" customFormat="1" ht="22.5" customHeight="1" x14ac:dyDescent="0.2">
      <c r="A472" s="96" t="s">
        <v>450</v>
      </c>
      <c r="B472" s="97"/>
      <c r="C472" s="9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</row>
    <row r="473" spans="1:21" s="56" customFormat="1" ht="19.149999999999999" customHeight="1" x14ac:dyDescent="0.2">
      <c r="A473" s="98" t="s">
        <v>431</v>
      </c>
      <c r="B473" s="99"/>
      <c r="C473" s="99"/>
      <c r="D473" s="99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</row>
    <row r="474" spans="1:21" s="56" customFormat="1" ht="38.25" x14ac:dyDescent="0.2">
      <c r="A474" s="100">
        <v>152</v>
      </c>
      <c r="B474" s="101" t="s">
        <v>451</v>
      </c>
      <c r="C474" s="102" t="s">
        <v>452</v>
      </c>
      <c r="D474" s="103" t="s">
        <v>453</v>
      </c>
      <c r="E474" s="104" t="s">
        <v>74</v>
      </c>
      <c r="F474" s="105">
        <v>456.92</v>
      </c>
      <c r="G474" s="105">
        <v>3</v>
      </c>
      <c r="H474" s="106">
        <v>1370.76</v>
      </c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6">
        <v>3</v>
      </c>
      <c r="U474" s="106">
        <v>1370.76</v>
      </c>
    </row>
    <row r="475" spans="1:21" s="56" customFormat="1" ht="38.25" x14ac:dyDescent="0.2">
      <c r="A475" s="100">
        <v>153</v>
      </c>
      <c r="B475" s="101" t="s">
        <v>454</v>
      </c>
      <c r="C475" s="102" t="s">
        <v>455</v>
      </c>
      <c r="D475" s="103" t="s">
        <v>453</v>
      </c>
      <c r="E475" s="104" t="s">
        <v>74</v>
      </c>
      <c r="F475" s="105">
        <v>456.92</v>
      </c>
      <c r="G475" s="105">
        <v>3</v>
      </c>
      <c r="H475" s="106">
        <v>1370.76</v>
      </c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6">
        <v>3</v>
      </c>
      <c r="U475" s="106">
        <v>1370.76</v>
      </c>
    </row>
    <row r="476" spans="1:21" s="56" customFormat="1" ht="38.25" x14ac:dyDescent="0.2">
      <c r="A476" s="100">
        <v>154</v>
      </c>
      <c r="B476" s="101" t="s">
        <v>456</v>
      </c>
      <c r="C476" s="102" t="s">
        <v>457</v>
      </c>
      <c r="D476" s="103" t="s">
        <v>458</v>
      </c>
      <c r="E476" s="104" t="s">
        <v>172</v>
      </c>
      <c r="F476" s="105">
        <v>2019.28</v>
      </c>
      <c r="G476" s="108">
        <v>2</v>
      </c>
      <c r="H476" s="106">
        <v>4038.56</v>
      </c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6">
        <v>2</v>
      </c>
      <c r="U476" s="106">
        <v>4038.56</v>
      </c>
    </row>
    <row r="477" spans="1:21" s="56" customFormat="1" ht="76.5" x14ac:dyDescent="0.2">
      <c r="A477" s="100">
        <v>155</v>
      </c>
      <c r="B477" s="101" t="s">
        <v>459</v>
      </c>
      <c r="C477" s="102" t="s">
        <v>174</v>
      </c>
      <c r="D477" s="103" t="s">
        <v>175</v>
      </c>
      <c r="E477" s="104" t="s">
        <v>176</v>
      </c>
      <c r="F477" s="105">
        <v>124.65</v>
      </c>
      <c r="G477" s="105">
        <v>26</v>
      </c>
      <c r="H477" s="106">
        <v>3240.9</v>
      </c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6">
        <v>26</v>
      </c>
      <c r="U477" s="106">
        <v>3240.9</v>
      </c>
    </row>
    <row r="478" spans="1:21" s="56" customFormat="1" ht="19.149999999999999" customHeight="1" x14ac:dyDescent="0.2">
      <c r="A478" s="98" t="s">
        <v>460</v>
      </c>
      <c r="B478" s="99"/>
      <c r="C478" s="99"/>
      <c r="D478" s="99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</row>
    <row r="479" spans="1:21" s="56" customFormat="1" ht="51" x14ac:dyDescent="0.2">
      <c r="A479" s="113">
        <v>156</v>
      </c>
      <c r="B479" s="114" t="s">
        <v>461</v>
      </c>
      <c r="C479" s="115" t="s">
        <v>462</v>
      </c>
      <c r="D479" s="116" t="s">
        <v>204</v>
      </c>
      <c r="E479" s="117" t="s">
        <v>88</v>
      </c>
      <c r="F479" s="118">
        <v>3456.05</v>
      </c>
      <c r="G479" s="120">
        <v>12</v>
      </c>
      <c r="H479" s="119">
        <v>41472.6</v>
      </c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19">
        <v>12</v>
      </c>
      <c r="U479" s="119">
        <v>41472.6</v>
      </c>
    </row>
    <row r="480" spans="1:21" s="56" customFormat="1" ht="153" x14ac:dyDescent="0.2">
      <c r="A480" s="113">
        <v>157</v>
      </c>
      <c r="B480" s="114" t="s">
        <v>463</v>
      </c>
      <c r="C480" s="115" t="s">
        <v>464</v>
      </c>
      <c r="D480" s="116" t="s">
        <v>465</v>
      </c>
      <c r="E480" s="117" t="s">
        <v>88</v>
      </c>
      <c r="F480" s="118">
        <v>4842.2700000000004</v>
      </c>
      <c r="G480" s="118">
        <v>9</v>
      </c>
      <c r="H480" s="119">
        <v>43580.43</v>
      </c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19">
        <v>9</v>
      </c>
      <c r="U480" s="119">
        <v>43580.43</v>
      </c>
    </row>
    <row r="481" spans="1:21" s="56" customFormat="1" ht="19.149999999999999" customHeight="1" x14ac:dyDescent="0.2">
      <c r="A481" s="98" t="s">
        <v>466</v>
      </c>
      <c r="B481" s="99"/>
      <c r="C481" s="99"/>
      <c r="D481" s="99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</row>
    <row r="482" spans="1:21" s="56" customFormat="1" ht="51" x14ac:dyDescent="0.2">
      <c r="A482" s="113">
        <v>158</v>
      </c>
      <c r="B482" s="114" t="s">
        <v>467</v>
      </c>
      <c r="C482" s="115" t="s">
        <v>468</v>
      </c>
      <c r="D482" s="116" t="s">
        <v>204</v>
      </c>
      <c r="E482" s="117" t="s">
        <v>88</v>
      </c>
      <c r="F482" s="118">
        <v>3456.05</v>
      </c>
      <c r="G482" s="120">
        <v>5</v>
      </c>
      <c r="H482" s="119">
        <v>17280.25</v>
      </c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19">
        <v>5</v>
      </c>
      <c r="U482" s="119">
        <v>17280.25</v>
      </c>
    </row>
    <row r="483" spans="1:21" s="56" customFormat="1" ht="140.25" x14ac:dyDescent="0.2">
      <c r="A483" s="113">
        <v>159</v>
      </c>
      <c r="B483" s="114" t="s">
        <v>469</v>
      </c>
      <c r="C483" s="115" t="s">
        <v>470</v>
      </c>
      <c r="D483" s="116" t="s">
        <v>465</v>
      </c>
      <c r="E483" s="117" t="s">
        <v>88</v>
      </c>
      <c r="F483" s="118">
        <v>4842.2700000000004</v>
      </c>
      <c r="G483" s="118">
        <v>22</v>
      </c>
      <c r="H483" s="119">
        <v>106529.94</v>
      </c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19">
        <v>22</v>
      </c>
      <c r="U483" s="119">
        <v>106529.94</v>
      </c>
    </row>
    <row r="484" spans="1:21" s="56" customFormat="1" ht="51" x14ac:dyDescent="0.2">
      <c r="A484" s="100">
        <v>160</v>
      </c>
      <c r="B484" s="101" t="s">
        <v>471</v>
      </c>
      <c r="C484" s="102" t="s">
        <v>472</v>
      </c>
      <c r="D484" s="103" t="s">
        <v>473</v>
      </c>
      <c r="E484" s="104" t="s">
        <v>88</v>
      </c>
      <c r="F484" s="105">
        <v>494.77</v>
      </c>
      <c r="G484" s="108">
        <v>2</v>
      </c>
      <c r="H484" s="106">
        <v>989.54</v>
      </c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6">
        <v>2</v>
      </c>
      <c r="U484" s="106">
        <v>989.54</v>
      </c>
    </row>
    <row r="485" spans="1:21" s="56" customFormat="1" ht="19.149999999999999" customHeight="1" x14ac:dyDescent="0.2">
      <c r="A485" s="98" t="s">
        <v>441</v>
      </c>
      <c r="B485" s="99"/>
      <c r="C485" s="99"/>
      <c r="D485" s="99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</row>
    <row r="486" spans="1:21" s="56" customFormat="1" ht="51" x14ac:dyDescent="0.2">
      <c r="A486" s="113">
        <v>161</v>
      </c>
      <c r="B486" s="114" t="s">
        <v>474</v>
      </c>
      <c r="C486" s="115" t="s">
        <v>443</v>
      </c>
      <c r="D486" s="116" t="s">
        <v>444</v>
      </c>
      <c r="E486" s="117" t="s">
        <v>88</v>
      </c>
      <c r="F486" s="118">
        <v>1617.07</v>
      </c>
      <c r="G486" s="120">
        <v>2</v>
      </c>
      <c r="H486" s="119">
        <v>3234.14</v>
      </c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19">
        <v>2</v>
      </c>
      <c r="U486" s="119">
        <v>3234.14</v>
      </c>
    </row>
    <row r="487" spans="1:21" s="56" customFormat="1" ht="51" x14ac:dyDescent="0.2">
      <c r="A487" s="100">
        <v>162</v>
      </c>
      <c r="B487" s="101" t="s">
        <v>475</v>
      </c>
      <c r="C487" s="102" t="s">
        <v>476</v>
      </c>
      <c r="D487" s="103" t="s">
        <v>477</v>
      </c>
      <c r="E487" s="104" t="s">
        <v>88</v>
      </c>
      <c r="F487" s="105">
        <v>788.24</v>
      </c>
      <c r="G487" s="105">
        <v>8</v>
      </c>
      <c r="H487" s="106">
        <v>6305.92</v>
      </c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6">
        <v>8</v>
      </c>
      <c r="U487" s="106">
        <v>6305.92</v>
      </c>
    </row>
    <row r="488" spans="1:21" s="56" customFormat="1" ht="51" x14ac:dyDescent="0.2">
      <c r="A488" s="100">
        <v>163</v>
      </c>
      <c r="B488" s="101" t="s">
        <v>478</v>
      </c>
      <c r="C488" s="102" t="s">
        <v>479</v>
      </c>
      <c r="D488" s="103" t="s">
        <v>54</v>
      </c>
      <c r="E488" s="104" t="s">
        <v>55</v>
      </c>
      <c r="F488" s="105">
        <v>1740.55</v>
      </c>
      <c r="G488" s="105">
        <v>0.13239999999999999</v>
      </c>
      <c r="H488" s="106">
        <v>230.45</v>
      </c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6">
        <v>0.13239999999999999</v>
      </c>
      <c r="U488" s="106">
        <v>230.45</v>
      </c>
    </row>
    <row r="489" spans="1:21" s="56" customFormat="1" ht="38.25" x14ac:dyDescent="0.2">
      <c r="A489" s="100">
        <v>164</v>
      </c>
      <c r="B489" s="101" t="s">
        <v>480</v>
      </c>
      <c r="C489" s="102" t="s">
        <v>481</v>
      </c>
      <c r="D489" s="103" t="s">
        <v>482</v>
      </c>
      <c r="E489" s="104" t="s">
        <v>483</v>
      </c>
      <c r="F489" s="105">
        <v>375.47</v>
      </c>
      <c r="G489" s="105">
        <v>0.4</v>
      </c>
      <c r="H489" s="106">
        <v>150.19</v>
      </c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6">
        <v>0.4</v>
      </c>
      <c r="U489" s="106">
        <v>150.19</v>
      </c>
    </row>
    <row r="490" spans="1:21" s="56" customFormat="1" x14ac:dyDescent="0.2">
      <c r="A490" s="109" t="s">
        <v>75</v>
      </c>
      <c r="B490" s="110"/>
      <c r="C490" s="110"/>
      <c r="D490" s="110"/>
      <c r="E490" s="104"/>
      <c r="F490" s="105"/>
      <c r="G490" s="105"/>
      <c r="H490" s="126">
        <f>23572.63*5.8108</f>
        <v>136975.83840400001</v>
      </c>
      <c r="I490" s="127"/>
      <c r="J490" s="126"/>
      <c r="K490" s="126"/>
      <c r="L490" s="127"/>
      <c r="M490" s="126"/>
      <c r="N490" s="126"/>
      <c r="O490" s="127"/>
      <c r="P490" s="126"/>
      <c r="Q490" s="126"/>
      <c r="R490" s="127"/>
      <c r="S490" s="126"/>
      <c r="T490" s="127"/>
      <c r="U490" s="126">
        <f>H490</f>
        <v>136975.83840400001</v>
      </c>
    </row>
    <row r="491" spans="1:21" s="56" customFormat="1" outlineLevel="1" x14ac:dyDescent="0.2">
      <c r="A491" s="111" t="s">
        <v>76</v>
      </c>
      <c r="B491" s="110"/>
      <c r="C491" s="110"/>
      <c r="D491" s="110"/>
      <c r="E491" s="104"/>
      <c r="F491" s="105"/>
      <c r="G491" s="105"/>
      <c r="H491" s="126">
        <f>2235.11*5.8108</f>
        <v>12987.777188000002</v>
      </c>
      <c r="I491" s="127"/>
      <c r="J491" s="126"/>
      <c r="K491" s="126"/>
      <c r="L491" s="127"/>
      <c r="M491" s="126"/>
      <c r="N491" s="126"/>
      <c r="O491" s="127"/>
      <c r="P491" s="126"/>
      <c r="Q491" s="126"/>
      <c r="R491" s="127"/>
      <c r="S491" s="126"/>
      <c r="T491" s="127"/>
      <c r="U491" s="126">
        <f t="shared" ref="U491:U497" si="13">H491</f>
        <v>12987.777188000002</v>
      </c>
    </row>
    <row r="492" spans="1:21" s="56" customFormat="1" outlineLevel="1" x14ac:dyDescent="0.2">
      <c r="A492" s="111" t="s">
        <v>77</v>
      </c>
      <c r="B492" s="110"/>
      <c r="C492" s="110"/>
      <c r="D492" s="110"/>
      <c r="E492" s="104"/>
      <c r="F492" s="105"/>
      <c r="G492" s="105"/>
      <c r="H492" s="126">
        <f>16701.67*5.8108</f>
        <v>97050.064035999996</v>
      </c>
      <c r="I492" s="127"/>
      <c r="J492" s="126"/>
      <c r="K492" s="126"/>
      <c r="L492" s="127"/>
      <c r="M492" s="126"/>
      <c r="N492" s="126"/>
      <c r="O492" s="127"/>
      <c r="P492" s="126"/>
      <c r="Q492" s="126"/>
      <c r="R492" s="127"/>
      <c r="S492" s="126"/>
      <c r="T492" s="127"/>
      <c r="U492" s="126">
        <f t="shared" si="13"/>
        <v>97050.064035999996</v>
      </c>
    </row>
    <row r="493" spans="1:21" s="56" customFormat="1" outlineLevel="1" x14ac:dyDescent="0.2">
      <c r="A493" s="111" t="s">
        <v>78</v>
      </c>
      <c r="B493" s="110"/>
      <c r="C493" s="110"/>
      <c r="D493" s="110"/>
      <c r="E493" s="104"/>
      <c r="F493" s="105"/>
      <c r="G493" s="105"/>
      <c r="H493" s="126">
        <f>6198.93*5.8108</f>
        <v>36020.742444000003</v>
      </c>
      <c r="I493" s="127"/>
      <c r="J493" s="126"/>
      <c r="K493" s="126"/>
      <c r="L493" s="127"/>
      <c r="M493" s="126"/>
      <c r="N493" s="126"/>
      <c r="O493" s="127"/>
      <c r="P493" s="126"/>
      <c r="Q493" s="126"/>
      <c r="R493" s="127"/>
      <c r="S493" s="126"/>
      <c r="T493" s="127"/>
      <c r="U493" s="126">
        <f t="shared" si="13"/>
        <v>36020.742444000003</v>
      </c>
    </row>
    <row r="494" spans="1:21" s="56" customFormat="1" x14ac:dyDescent="0.2">
      <c r="A494" s="109" t="s">
        <v>79</v>
      </c>
      <c r="B494" s="110"/>
      <c r="C494" s="110"/>
      <c r="D494" s="110"/>
      <c r="E494" s="104"/>
      <c r="F494" s="105"/>
      <c r="G494" s="105"/>
      <c r="H494" s="126">
        <f>5888.98*5.8108</f>
        <v>34219.684984</v>
      </c>
      <c r="I494" s="127"/>
      <c r="J494" s="126"/>
      <c r="K494" s="126"/>
      <c r="L494" s="127"/>
      <c r="M494" s="126"/>
      <c r="N494" s="126"/>
      <c r="O494" s="127"/>
      <c r="P494" s="126"/>
      <c r="Q494" s="126"/>
      <c r="R494" s="127"/>
      <c r="S494" s="126"/>
      <c r="T494" s="127"/>
      <c r="U494" s="126">
        <f t="shared" si="13"/>
        <v>34219.684984</v>
      </c>
    </row>
    <row r="495" spans="1:21" s="56" customFormat="1" x14ac:dyDescent="0.2">
      <c r="A495" s="109" t="s">
        <v>80</v>
      </c>
      <c r="B495" s="110"/>
      <c r="C495" s="110"/>
      <c r="D495" s="110"/>
      <c r="E495" s="104"/>
      <c r="F495" s="105"/>
      <c r="G495" s="105"/>
      <c r="H495" s="126">
        <f>4029.3*5.8108</f>
        <v>23413.456440000002</v>
      </c>
      <c r="I495" s="127"/>
      <c r="J495" s="126"/>
      <c r="K495" s="126"/>
      <c r="L495" s="127"/>
      <c r="M495" s="126"/>
      <c r="N495" s="126"/>
      <c r="O495" s="127"/>
      <c r="P495" s="126"/>
      <c r="Q495" s="126"/>
      <c r="R495" s="127"/>
      <c r="S495" s="126"/>
      <c r="T495" s="127"/>
      <c r="U495" s="126">
        <f t="shared" si="13"/>
        <v>23413.456440000002</v>
      </c>
    </row>
    <row r="496" spans="1:21" s="56" customFormat="1" x14ac:dyDescent="0.2">
      <c r="A496" s="109" t="s">
        <v>81</v>
      </c>
      <c r="B496" s="110"/>
      <c r="C496" s="110"/>
      <c r="D496" s="110"/>
      <c r="E496" s="104"/>
      <c r="F496" s="105"/>
      <c r="G496" s="105"/>
      <c r="H496" s="126">
        <f>33490.91*5.8108</f>
        <v>194608.97982800004</v>
      </c>
      <c r="I496" s="127"/>
      <c r="J496" s="126"/>
      <c r="K496" s="126"/>
      <c r="L496" s="127"/>
      <c r="M496" s="126"/>
      <c r="N496" s="126"/>
      <c r="O496" s="127"/>
      <c r="P496" s="126"/>
      <c r="Q496" s="126"/>
      <c r="R496" s="127"/>
      <c r="S496" s="126"/>
      <c r="T496" s="127"/>
      <c r="U496" s="126">
        <f t="shared" si="13"/>
        <v>194608.97982800004</v>
      </c>
    </row>
    <row r="497" spans="1:21" s="56" customFormat="1" x14ac:dyDescent="0.2">
      <c r="A497" s="109" t="s">
        <v>82</v>
      </c>
      <c r="B497" s="110"/>
      <c r="C497" s="110"/>
      <c r="D497" s="110"/>
      <c r="E497" s="104"/>
      <c r="F497" s="105"/>
      <c r="G497" s="105"/>
      <c r="H497" s="128">
        <f>33490.91*5.8108</f>
        <v>194608.97982800004</v>
      </c>
      <c r="I497" s="127"/>
      <c r="J497" s="128"/>
      <c r="K497" s="128"/>
      <c r="L497" s="127"/>
      <c r="M497" s="128"/>
      <c r="N497" s="128"/>
      <c r="O497" s="127"/>
      <c r="P497" s="128"/>
      <c r="Q497" s="128"/>
      <c r="R497" s="127"/>
      <c r="S497" s="128"/>
      <c r="T497" s="127"/>
      <c r="U497" s="128">
        <f t="shared" si="13"/>
        <v>194608.97982800004</v>
      </c>
    </row>
    <row r="498" spans="1:21" s="56" customFormat="1" ht="22.5" customHeight="1" x14ac:dyDescent="0.2">
      <c r="A498" s="96" t="s">
        <v>484</v>
      </c>
      <c r="B498" s="97"/>
      <c r="C498" s="97"/>
      <c r="D498" s="97"/>
      <c r="E498" s="97"/>
      <c r="F498" s="97"/>
      <c r="G498" s="97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</row>
    <row r="499" spans="1:21" s="56" customFormat="1" ht="19.149999999999999" customHeight="1" x14ac:dyDescent="0.2">
      <c r="A499" s="98" t="s">
        <v>431</v>
      </c>
      <c r="B499" s="99"/>
      <c r="C499" s="99"/>
      <c r="D499" s="99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</row>
    <row r="500" spans="1:21" s="56" customFormat="1" ht="89.25" x14ac:dyDescent="0.2">
      <c r="A500" s="113">
        <v>165</v>
      </c>
      <c r="B500" s="114" t="s">
        <v>485</v>
      </c>
      <c r="C500" s="115" t="s">
        <v>486</v>
      </c>
      <c r="D500" s="116" t="s">
        <v>255</v>
      </c>
      <c r="E500" s="117" t="s">
        <v>310</v>
      </c>
      <c r="F500" s="118">
        <v>336.19</v>
      </c>
      <c r="G500" s="120">
        <v>48</v>
      </c>
      <c r="H500" s="119">
        <v>16137.12</v>
      </c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19">
        <v>48</v>
      </c>
      <c r="U500" s="119">
        <v>16137.12</v>
      </c>
    </row>
    <row r="501" spans="1:21" s="56" customFormat="1" ht="19.149999999999999" customHeight="1" x14ac:dyDescent="0.2">
      <c r="A501" s="98" t="s">
        <v>487</v>
      </c>
      <c r="B501" s="99"/>
      <c r="C501" s="99"/>
      <c r="D501" s="99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</row>
    <row r="502" spans="1:21" s="56" customFormat="1" ht="76.5" x14ac:dyDescent="0.2">
      <c r="A502" s="100">
        <v>166</v>
      </c>
      <c r="B502" s="101" t="s">
        <v>488</v>
      </c>
      <c r="C502" s="102" t="s">
        <v>489</v>
      </c>
      <c r="D502" s="103" t="s">
        <v>261</v>
      </c>
      <c r="E502" s="104" t="s">
        <v>310</v>
      </c>
      <c r="F502" s="105">
        <v>48553.68</v>
      </c>
      <c r="G502" s="108">
        <v>2</v>
      </c>
      <c r="H502" s="106">
        <v>97107.36</v>
      </c>
      <c r="I502" s="106">
        <v>2</v>
      </c>
      <c r="J502" s="106">
        <v>97107.36</v>
      </c>
      <c r="K502" s="106">
        <v>97107.36</v>
      </c>
      <c r="L502" s="107"/>
      <c r="M502" s="107"/>
      <c r="N502" s="107"/>
      <c r="O502" s="107"/>
      <c r="P502" s="107"/>
      <c r="Q502" s="107"/>
      <c r="R502" s="106">
        <v>2</v>
      </c>
      <c r="S502" s="106">
        <v>97107.36</v>
      </c>
      <c r="T502" s="107"/>
      <c r="U502" s="107"/>
    </row>
    <row r="503" spans="1:21" s="56" customFormat="1" x14ac:dyDescent="0.2">
      <c r="A503" s="109" t="s">
        <v>75</v>
      </c>
      <c r="B503" s="110"/>
      <c r="C503" s="110"/>
      <c r="D503" s="110"/>
      <c r="E503" s="104"/>
      <c r="F503" s="105"/>
      <c r="G503" s="105"/>
      <c r="H503" s="126">
        <f>97107.36*4.4103</f>
        <v>428272.58980800002</v>
      </c>
      <c r="I503" s="127"/>
      <c r="J503" s="126">
        <f>H503</f>
        <v>428272.58980800002</v>
      </c>
      <c r="K503" s="126">
        <f>J503</f>
        <v>428272.58980800002</v>
      </c>
      <c r="L503" s="127"/>
      <c r="M503" s="126"/>
      <c r="N503" s="126">
        <f>K503</f>
        <v>428272.58980800002</v>
      </c>
      <c r="O503" s="127"/>
      <c r="P503" s="126"/>
      <c r="Q503" s="126">
        <f>N503</f>
        <v>428272.58980800002</v>
      </c>
      <c r="R503" s="127"/>
      <c r="S503" s="126">
        <f>Q503</f>
        <v>428272.58980800002</v>
      </c>
      <c r="T503" s="107"/>
      <c r="U503" s="106"/>
    </row>
    <row r="504" spans="1:21" s="56" customFormat="1" outlineLevel="1" x14ac:dyDescent="0.2">
      <c r="A504" s="111" t="s">
        <v>76</v>
      </c>
      <c r="B504" s="110"/>
      <c r="C504" s="110"/>
      <c r="D504" s="110"/>
      <c r="E504" s="104"/>
      <c r="F504" s="105"/>
      <c r="G504" s="105"/>
      <c r="H504" s="126"/>
      <c r="I504" s="127"/>
      <c r="J504" s="126"/>
      <c r="K504" s="126"/>
      <c r="L504" s="127"/>
      <c r="M504" s="126"/>
      <c r="N504" s="126"/>
      <c r="O504" s="127"/>
      <c r="P504" s="126"/>
      <c r="Q504" s="126"/>
      <c r="R504" s="127"/>
      <c r="S504" s="126"/>
      <c r="T504" s="107"/>
      <c r="U504" s="106"/>
    </row>
    <row r="505" spans="1:21" s="56" customFormat="1" outlineLevel="1" x14ac:dyDescent="0.2">
      <c r="A505" s="111" t="s">
        <v>77</v>
      </c>
      <c r="B505" s="110"/>
      <c r="C505" s="110"/>
      <c r="D505" s="110"/>
      <c r="E505" s="104"/>
      <c r="F505" s="105"/>
      <c r="G505" s="105"/>
      <c r="H505" s="126"/>
      <c r="I505" s="127"/>
      <c r="J505" s="126"/>
      <c r="K505" s="126"/>
      <c r="L505" s="127"/>
      <c r="M505" s="126"/>
      <c r="N505" s="126"/>
      <c r="O505" s="127"/>
      <c r="P505" s="126"/>
      <c r="Q505" s="126"/>
      <c r="R505" s="127"/>
      <c r="S505" s="126"/>
      <c r="T505" s="107"/>
      <c r="U505" s="106"/>
    </row>
    <row r="506" spans="1:21" s="56" customFormat="1" outlineLevel="1" x14ac:dyDescent="0.2">
      <c r="A506" s="111" t="s">
        <v>78</v>
      </c>
      <c r="B506" s="110"/>
      <c r="C506" s="110"/>
      <c r="D506" s="110"/>
      <c r="E506" s="104"/>
      <c r="F506" s="105"/>
      <c r="G506" s="105"/>
      <c r="H506" s="126"/>
      <c r="I506" s="127"/>
      <c r="J506" s="126"/>
      <c r="K506" s="126"/>
      <c r="L506" s="127"/>
      <c r="M506" s="126"/>
      <c r="N506" s="126"/>
      <c r="O506" s="127"/>
      <c r="P506" s="126"/>
      <c r="Q506" s="126"/>
      <c r="R506" s="127"/>
      <c r="S506" s="126"/>
      <c r="T506" s="107"/>
      <c r="U506" s="106"/>
    </row>
    <row r="507" spans="1:21" s="56" customFormat="1" outlineLevel="1" x14ac:dyDescent="0.2">
      <c r="A507" s="111" t="s">
        <v>266</v>
      </c>
      <c r="B507" s="110"/>
      <c r="C507" s="110"/>
      <c r="D507" s="110"/>
      <c r="E507" s="104"/>
      <c r="F507" s="105"/>
      <c r="G507" s="105"/>
      <c r="H507" s="126">
        <f>97107.36*4.4103</f>
        <v>428272.58980800002</v>
      </c>
      <c r="I507" s="127"/>
      <c r="J507" s="126">
        <f>H507</f>
        <v>428272.58980800002</v>
      </c>
      <c r="K507" s="126">
        <f>J507</f>
        <v>428272.58980800002</v>
      </c>
      <c r="L507" s="127"/>
      <c r="M507" s="127"/>
      <c r="N507" s="126">
        <f>K507</f>
        <v>428272.58980800002</v>
      </c>
      <c r="O507" s="127"/>
      <c r="P507" s="127"/>
      <c r="Q507" s="126">
        <f>N507</f>
        <v>428272.58980800002</v>
      </c>
      <c r="R507" s="127"/>
      <c r="S507" s="126">
        <f>Q507</f>
        <v>428272.58980800002</v>
      </c>
      <c r="T507" s="107"/>
      <c r="U507" s="107"/>
    </row>
    <row r="508" spans="1:21" s="56" customFormat="1" x14ac:dyDescent="0.2">
      <c r="A508" s="109" t="s">
        <v>79</v>
      </c>
      <c r="B508" s="110"/>
      <c r="C508" s="110"/>
      <c r="D508" s="110"/>
      <c r="E508" s="104"/>
      <c r="F508" s="105"/>
      <c r="G508" s="105"/>
      <c r="H508" s="126"/>
      <c r="I508" s="127"/>
      <c r="J508" s="126"/>
      <c r="K508" s="126"/>
      <c r="L508" s="127"/>
      <c r="M508" s="126"/>
      <c r="N508" s="126"/>
      <c r="O508" s="127"/>
      <c r="P508" s="126"/>
      <c r="Q508" s="126"/>
      <c r="R508" s="127"/>
      <c r="S508" s="126"/>
      <c r="T508" s="107"/>
      <c r="U508" s="106"/>
    </row>
    <row r="509" spans="1:21" s="56" customFormat="1" x14ac:dyDescent="0.2">
      <c r="A509" s="109" t="s">
        <v>80</v>
      </c>
      <c r="B509" s="110"/>
      <c r="C509" s="110"/>
      <c r="D509" s="110"/>
      <c r="E509" s="104"/>
      <c r="F509" s="105"/>
      <c r="G509" s="105"/>
      <c r="H509" s="126"/>
      <c r="I509" s="127"/>
      <c r="J509" s="126"/>
      <c r="K509" s="126"/>
      <c r="L509" s="127"/>
      <c r="M509" s="126"/>
      <c r="N509" s="126"/>
      <c r="O509" s="127"/>
      <c r="P509" s="126"/>
      <c r="Q509" s="126"/>
      <c r="R509" s="127"/>
      <c r="S509" s="126"/>
      <c r="T509" s="107"/>
      <c r="U509" s="106"/>
    </row>
    <row r="510" spans="1:21" s="56" customFormat="1" x14ac:dyDescent="0.2">
      <c r="A510" s="109" t="s">
        <v>81</v>
      </c>
      <c r="B510" s="110"/>
      <c r="C510" s="110"/>
      <c r="D510" s="110"/>
      <c r="E510" s="104"/>
      <c r="F510" s="105"/>
      <c r="G510" s="105"/>
      <c r="H510" s="126">
        <f>97107.36*4.4103</f>
        <v>428272.58980800002</v>
      </c>
      <c r="I510" s="127"/>
      <c r="J510" s="126">
        <f>H510</f>
        <v>428272.58980800002</v>
      </c>
      <c r="K510" s="126">
        <f>J510</f>
        <v>428272.58980800002</v>
      </c>
      <c r="L510" s="127"/>
      <c r="M510" s="126"/>
      <c r="N510" s="126">
        <f>K510</f>
        <v>428272.58980800002</v>
      </c>
      <c r="O510" s="127"/>
      <c r="P510" s="126"/>
      <c r="Q510" s="126">
        <f>N510</f>
        <v>428272.58980800002</v>
      </c>
      <c r="R510" s="127"/>
      <c r="S510" s="126">
        <f>Q510</f>
        <v>428272.58980800002</v>
      </c>
      <c r="T510" s="107"/>
      <c r="U510" s="106"/>
    </row>
    <row r="511" spans="1:21" s="56" customFormat="1" x14ac:dyDescent="0.2">
      <c r="A511" s="109" t="s">
        <v>82</v>
      </c>
      <c r="B511" s="110"/>
      <c r="C511" s="110"/>
      <c r="D511" s="110"/>
      <c r="E511" s="104"/>
      <c r="F511" s="105"/>
      <c r="G511" s="105"/>
      <c r="H511" s="128">
        <f>97107.36*4.4103</f>
        <v>428272.58980800002</v>
      </c>
      <c r="I511" s="127"/>
      <c r="J511" s="128">
        <f>H511</f>
        <v>428272.58980800002</v>
      </c>
      <c r="K511" s="128">
        <f>J511</f>
        <v>428272.58980800002</v>
      </c>
      <c r="L511" s="127"/>
      <c r="M511" s="128"/>
      <c r="N511" s="128">
        <f>K511</f>
        <v>428272.58980800002</v>
      </c>
      <c r="O511" s="127"/>
      <c r="P511" s="128"/>
      <c r="Q511" s="128">
        <f>N511</f>
        <v>428272.58980800002</v>
      </c>
      <c r="R511" s="127"/>
      <c r="S511" s="128">
        <f>Q511</f>
        <v>428272.58980800002</v>
      </c>
      <c r="T511" s="107"/>
      <c r="U511" s="112"/>
    </row>
    <row r="512" spans="1:21" s="56" customFormat="1" ht="22.5" customHeight="1" x14ac:dyDescent="0.2">
      <c r="A512" s="96" t="s">
        <v>490</v>
      </c>
      <c r="B512" s="97"/>
      <c r="C512" s="97"/>
      <c r="D512" s="97"/>
      <c r="E512" s="9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</row>
    <row r="513" spans="1:21" s="56" customFormat="1" ht="19.149999999999999" customHeight="1" x14ac:dyDescent="0.2">
      <c r="A513" s="98" t="s">
        <v>431</v>
      </c>
      <c r="B513" s="99"/>
      <c r="C513" s="99"/>
      <c r="D513" s="99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</row>
    <row r="514" spans="1:21" s="56" customFormat="1" ht="76.5" x14ac:dyDescent="0.2">
      <c r="A514" s="100">
        <v>167</v>
      </c>
      <c r="B514" s="101" t="s">
        <v>491</v>
      </c>
      <c r="C514" s="102" t="s">
        <v>486</v>
      </c>
      <c r="D514" s="103" t="s">
        <v>261</v>
      </c>
      <c r="E514" s="104" t="s">
        <v>310</v>
      </c>
      <c r="F514" s="105">
        <v>336.19</v>
      </c>
      <c r="G514" s="108">
        <v>48</v>
      </c>
      <c r="H514" s="106">
        <v>16137.12</v>
      </c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6">
        <v>48</v>
      </c>
      <c r="U514" s="106">
        <v>16137.12</v>
      </c>
    </row>
    <row r="515" spans="1:21" s="56" customFormat="1" ht="19.149999999999999" customHeight="1" x14ac:dyDescent="0.2">
      <c r="A515" s="98" t="s">
        <v>487</v>
      </c>
      <c r="B515" s="99"/>
      <c r="C515" s="99"/>
      <c r="D515" s="99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</row>
    <row r="516" spans="1:21" s="56" customFormat="1" ht="89.25" x14ac:dyDescent="0.2">
      <c r="A516" s="113">
        <v>168</v>
      </c>
      <c r="B516" s="114" t="s">
        <v>492</v>
      </c>
      <c r="C516" s="115" t="s">
        <v>489</v>
      </c>
      <c r="D516" s="116" t="s">
        <v>255</v>
      </c>
      <c r="E516" s="117" t="s">
        <v>310</v>
      </c>
      <c r="F516" s="118">
        <v>48553.68</v>
      </c>
      <c r="G516" s="120">
        <v>2</v>
      </c>
      <c r="H516" s="119">
        <v>97107.36</v>
      </c>
      <c r="I516" s="119">
        <v>2</v>
      </c>
      <c r="J516" s="119">
        <v>97107.36</v>
      </c>
      <c r="K516" s="119">
        <v>97107.36</v>
      </c>
      <c r="L516" s="107"/>
      <c r="M516" s="107"/>
      <c r="N516" s="107"/>
      <c r="O516" s="107"/>
      <c r="P516" s="107"/>
      <c r="Q516" s="107"/>
      <c r="R516" s="119">
        <v>2</v>
      </c>
      <c r="S516" s="119">
        <v>97107.36</v>
      </c>
      <c r="T516" s="107"/>
      <c r="U516" s="107"/>
    </row>
    <row r="517" spans="1:21" s="56" customFormat="1" x14ac:dyDescent="0.2">
      <c r="A517" s="109" t="s">
        <v>75</v>
      </c>
      <c r="B517" s="110"/>
      <c r="C517" s="110"/>
      <c r="D517" s="110"/>
      <c r="E517" s="104"/>
      <c r="F517" s="105"/>
      <c r="G517" s="105"/>
      <c r="H517" s="126">
        <f>16137.12*4.4103</f>
        <v>71169.540336000005</v>
      </c>
      <c r="I517" s="127"/>
      <c r="J517" s="126"/>
      <c r="K517" s="126"/>
      <c r="L517" s="127"/>
      <c r="M517" s="126"/>
      <c r="N517" s="126"/>
      <c r="O517" s="127"/>
      <c r="P517" s="126"/>
      <c r="Q517" s="126"/>
      <c r="R517" s="127"/>
      <c r="S517" s="126"/>
      <c r="T517" s="127"/>
      <c r="U517" s="126">
        <f>16137.12*4.4103</f>
        <v>71169.540336000005</v>
      </c>
    </row>
    <row r="518" spans="1:21" s="56" customFormat="1" outlineLevel="1" x14ac:dyDescent="0.2">
      <c r="A518" s="111" t="s">
        <v>76</v>
      </c>
      <c r="B518" s="110"/>
      <c r="C518" s="110"/>
      <c r="D518" s="110"/>
      <c r="E518" s="104"/>
      <c r="F518" s="105"/>
      <c r="G518" s="105"/>
      <c r="H518" s="126"/>
      <c r="I518" s="127"/>
      <c r="J518" s="126"/>
      <c r="K518" s="126"/>
      <c r="L518" s="127"/>
      <c r="M518" s="126"/>
      <c r="N518" s="126"/>
      <c r="O518" s="127"/>
      <c r="P518" s="126"/>
      <c r="Q518" s="126"/>
      <c r="R518" s="127"/>
      <c r="S518" s="126"/>
      <c r="T518" s="127"/>
      <c r="U518" s="126"/>
    </row>
    <row r="519" spans="1:21" s="56" customFormat="1" outlineLevel="1" x14ac:dyDescent="0.2">
      <c r="A519" s="111" t="s">
        <v>77</v>
      </c>
      <c r="B519" s="110"/>
      <c r="C519" s="110"/>
      <c r="D519" s="110"/>
      <c r="E519" s="104"/>
      <c r="F519" s="105"/>
      <c r="G519" s="105"/>
      <c r="H519" s="126"/>
      <c r="I519" s="127"/>
      <c r="J519" s="126"/>
      <c r="K519" s="126"/>
      <c r="L519" s="127"/>
      <c r="M519" s="126"/>
      <c r="N519" s="126"/>
      <c r="O519" s="127"/>
      <c r="P519" s="126"/>
      <c r="Q519" s="126"/>
      <c r="R519" s="127"/>
      <c r="S519" s="126"/>
      <c r="T519" s="127"/>
      <c r="U519" s="126"/>
    </row>
    <row r="520" spans="1:21" s="56" customFormat="1" outlineLevel="1" x14ac:dyDescent="0.2">
      <c r="A520" s="111" t="s">
        <v>78</v>
      </c>
      <c r="B520" s="110"/>
      <c r="C520" s="110"/>
      <c r="D520" s="110"/>
      <c r="E520" s="104"/>
      <c r="F520" s="105"/>
      <c r="G520" s="105"/>
      <c r="H520" s="126"/>
      <c r="I520" s="127"/>
      <c r="J520" s="126"/>
      <c r="K520" s="126"/>
      <c r="L520" s="127"/>
      <c r="M520" s="126"/>
      <c r="N520" s="126"/>
      <c r="O520" s="127"/>
      <c r="P520" s="126"/>
      <c r="Q520" s="126"/>
      <c r="R520" s="127"/>
      <c r="S520" s="126"/>
      <c r="T520" s="127"/>
      <c r="U520" s="126"/>
    </row>
    <row r="521" spans="1:21" s="56" customFormat="1" outlineLevel="1" x14ac:dyDescent="0.2">
      <c r="A521" s="111" t="s">
        <v>266</v>
      </c>
      <c r="B521" s="110"/>
      <c r="C521" s="110"/>
      <c r="D521" s="110"/>
      <c r="E521" s="104"/>
      <c r="F521" s="105"/>
      <c r="G521" s="105"/>
      <c r="H521" s="126">
        <f>16137.12*4.4103</f>
        <v>71169.540336000005</v>
      </c>
      <c r="I521" s="127"/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7"/>
      <c r="U521" s="126">
        <f>16137.12*4.4103</f>
        <v>71169.540336000005</v>
      </c>
    </row>
    <row r="522" spans="1:21" s="56" customFormat="1" x14ac:dyDescent="0.2">
      <c r="A522" s="109" t="s">
        <v>79</v>
      </c>
      <c r="B522" s="110"/>
      <c r="C522" s="110"/>
      <c r="D522" s="110"/>
      <c r="E522" s="104"/>
      <c r="F522" s="105"/>
      <c r="G522" s="105"/>
      <c r="H522" s="126"/>
      <c r="I522" s="127"/>
      <c r="J522" s="126"/>
      <c r="K522" s="126"/>
      <c r="L522" s="127"/>
      <c r="M522" s="126"/>
      <c r="N522" s="126"/>
      <c r="O522" s="127"/>
      <c r="P522" s="126"/>
      <c r="Q522" s="126"/>
      <c r="R522" s="127"/>
      <c r="S522" s="126"/>
      <c r="T522" s="127"/>
      <c r="U522" s="126"/>
    </row>
    <row r="523" spans="1:21" s="56" customFormat="1" x14ac:dyDescent="0.2">
      <c r="A523" s="109" t="s">
        <v>80</v>
      </c>
      <c r="B523" s="110"/>
      <c r="C523" s="110"/>
      <c r="D523" s="110"/>
      <c r="E523" s="104"/>
      <c r="F523" s="105"/>
      <c r="G523" s="105"/>
      <c r="H523" s="126"/>
      <c r="I523" s="127"/>
      <c r="J523" s="126"/>
      <c r="K523" s="126"/>
      <c r="L523" s="127"/>
      <c r="M523" s="126"/>
      <c r="N523" s="126"/>
      <c r="O523" s="127"/>
      <c r="P523" s="126"/>
      <c r="Q523" s="126"/>
      <c r="R523" s="127"/>
      <c r="S523" s="126"/>
      <c r="T523" s="127"/>
      <c r="U523" s="126"/>
    </row>
    <row r="524" spans="1:21" s="56" customFormat="1" x14ac:dyDescent="0.2">
      <c r="A524" s="109" t="s">
        <v>81</v>
      </c>
      <c r="B524" s="110"/>
      <c r="C524" s="110"/>
      <c r="D524" s="110"/>
      <c r="E524" s="104"/>
      <c r="F524" s="105"/>
      <c r="G524" s="105"/>
      <c r="H524" s="126">
        <f>16137.12*4.4103</f>
        <v>71169.540336000005</v>
      </c>
      <c r="I524" s="127"/>
      <c r="J524" s="126"/>
      <c r="K524" s="126"/>
      <c r="L524" s="127"/>
      <c r="M524" s="126"/>
      <c r="N524" s="126"/>
      <c r="O524" s="127"/>
      <c r="P524" s="126"/>
      <c r="Q524" s="126"/>
      <c r="R524" s="127"/>
      <c r="S524" s="126"/>
      <c r="T524" s="127"/>
      <c r="U524" s="126">
        <f>16137.12*4.4103</f>
        <v>71169.540336000005</v>
      </c>
    </row>
    <row r="525" spans="1:21" s="56" customFormat="1" x14ac:dyDescent="0.2">
      <c r="A525" s="109" t="s">
        <v>82</v>
      </c>
      <c r="B525" s="110"/>
      <c r="C525" s="110"/>
      <c r="D525" s="110"/>
      <c r="E525" s="104"/>
      <c r="F525" s="105"/>
      <c r="G525" s="105"/>
      <c r="H525" s="128">
        <f>16137.12*4.4103</f>
        <v>71169.540336000005</v>
      </c>
      <c r="I525" s="127"/>
      <c r="J525" s="128"/>
      <c r="K525" s="128"/>
      <c r="L525" s="127"/>
      <c r="M525" s="128"/>
      <c r="N525" s="128"/>
      <c r="O525" s="127"/>
      <c r="P525" s="128"/>
      <c r="Q525" s="128"/>
      <c r="R525" s="127"/>
      <c r="S525" s="128"/>
      <c r="T525" s="127"/>
      <c r="U525" s="128">
        <f>16137.12*4.4103</f>
        <v>71169.540336000005</v>
      </c>
    </row>
    <row r="526" spans="1:21" s="56" customFormat="1" ht="22.5" customHeight="1" x14ac:dyDescent="0.2">
      <c r="A526" s="96" t="s">
        <v>493</v>
      </c>
      <c r="B526" s="97"/>
      <c r="C526" s="97"/>
      <c r="D526" s="97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</row>
    <row r="527" spans="1:21" s="56" customFormat="1" ht="19.149999999999999" customHeight="1" x14ac:dyDescent="0.2">
      <c r="A527" s="98" t="s">
        <v>431</v>
      </c>
      <c r="B527" s="99"/>
      <c r="C527" s="99"/>
      <c r="D527" s="99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</row>
    <row r="528" spans="1:21" s="56" customFormat="1" ht="76.5" x14ac:dyDescent="0.2">
      <c r="A528" s="100">
        <v>169</v>
      </c>
      <c r="B528" s="101" t="s">
        <v>494</v>
      </c>
      <c r="C528" s="102" t="s">
        <v>495</v>
      </c>
      <c r="D528" s="103" t="s">
        <v>261</v>
      </c>
      <c r="E528" s="104" t="s">
        <v>310</v>
      </c>
      <c r="F528" s="105">
        <v>6370.66</v>
      </c>
      <c r="G528" s="108">
        <v>6</v>
      </c>
      <c r="H528" s="106">
        <v>38223.96</v>
      </c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6">
        <v>6</v>
      </c>
      <c r="U528" s="106">
        <v>38223.96</v>
      </c>
    </row>
    <row r="529" spans="1:21" s="56" customFormat="1" ht="76.5" x14ac:dyDescent="0.2">
      <c r="A529" s="100">
        <v>170</v>
      </c>
      <c r="B529" s="101" t="s">
        <v>496</v>
      </c>
      <c r="C529" s="102" t="s">
        <v>497</v>
      </c>
      <c r="D529" s="103" t="s">
        <v>261</v>
      </c>
      <c r="E529" s="104" t="s">
        <v>310</v>
      </c>
      <c r="F529" s="105">
        <v>1190.48</v>
      </c>
      <c r="G529" s="108">
        <v>6</v>
      </c>
      <c r="H529" s="106">
        <v>7142.88</v>
      </c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6">
        <v>6</v>
      </c>
      <c r="U529" s="106">
        <v>7142.88</v>
      </c>
    </row>
    <row r="530" spans="1:21" s="56" customFormat="1" ht="19.149999999999999" customHeight="1" x14ac:dyDescent="0.2">
      <c r="A530" s="98" t="s">
        <v>498</v>
      </c>
      <c r="B530" s="99"/>
      <c r="C530" s="99"/>
      <c r="D530" s="99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</row>
    <row r="531" spans="1:21" s="56" customFormat="1" ht="89.25" x14ac:dyDescent="0.2">
      <c r="A531" s="113">
        <v>171</v>
      </c>
      <c r="B531" s="114" t="s">
        <v>499</v>
      </c>
      <c r="C531" s="115" t="s">
        <v>500</v>
      </c>
      <c r="D531" s="116" t="s">
        <v>255</v>
      </c>
      <c r="E531" s="117" t="s">
        <v>256</v>
      </c>
      <c r="F531" s="118">
        <v>11036036.039999999</v>
      </c>
      <c r="G531" s="120">
        <v>1</v>
      </c>
      <c r="H531" s="119">
        <v>11036036.039999999</v>
      </c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19">
        <v>1</v>
      </c>
      <c r="U531" s="119">
        <v>11036036.039999999</v>
      </c>
    </row>
    <row r="532" spans="1:21" s="56" customFormat="1" ht="25.5" x14ac:dyDescent="0.2">
      <c r="A532" s="113">
        <v>172</v>
      </c>
      <c r="B532" s="114" t="s">
        <v>501</v>
      </c>
      <c r="C532" s="115" t="s">
        <v>502</v>
      </c>
      <c r="D532" s="116" t="s">
        <v>503</v>
      </c>
      <c r="E532" s="117" t="s">
        <v>310</v>
      </c>
      <c r="F532" s="105"/>
      <c r="G532" s="120">
        <v>2</v>
      </c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19">
        <v>2</v>
      </c>
      <c r="U532" s="107"/>
    </row>
    <row r="533" spans="1:21" s="56" customFormat="1" ht="38.25" x14ac:dyDescent="0.2">
      <c r="A533" s="113">
        <v>173</v>
      </c>
      <c r="B533" s="114" t="s">
        <v>504</v>
      </c>
      <c r="C533" s="115" t="s">
        <v>505</v>
      </c>
      <c r="D533" s="116" t="s">
        <v>506</v>
      </c>
      <c r="E533" s="117" t="s">
        <v>310</v>
      </c>
      <c r="F533" s="105"/>
      <c r="G533" s="120">
        <v>3</v>
      </c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19">
        <v>3</v>
      </c>
      <c r="U533" s="107"/>
    </row>
    <row r="534" spans="1:21" s="56" customFormat="1" ht="38.25" x14ac:dyDescent="0.2">
      <c r="A534" s="113">
        <v>174</v>
      </c>
      <c r="B534" s="114" t="s">
        <v>507</v>
      </c>
      <c r="C534" s="115" t="s">
        <v>508</v>
      </c>
      <c r="D534" s="116" t="s">
        <v>509</v>
      </c>
      <c r="E534" s="117" t="s">
        <v>310</v>
      </c>
      <c r="F534" s="105"/>
      <c r="G534" s="120">
        <v>1</v>
      </c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19">
        <v>1</v>
      </c>
      <c r="U534" s="107"/>
    </row>
    <row r="535" spans="1:21" s="56" customFormat="1" ht="25.5" x14ac:dyDescent="0.2">
      <c r="A535" s="113">
        <v>175</v>
      </c>
      <c r="B535" s="114" t="s">
        <v>510</v>
      </c>
      <c r="C535" s="115" t="s">
        <v>511</v>
      </c>
      <c r="D535" s="116" t="s">
        <v>512</v>
      </c>
      <c r="E535" s="117" t="s">
        <v>310</v>
      </c>
      <c r="F535" s="105"/>
      <c r="G535" s="120">
        <v>1</v>
      </c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19">
        <v>1</v>
      </c>
      <c r="U535" s="107"/>
    </row>
    <row r="536" spans="1:21" s="56" customFormat="1" ht="38.25" x14ac:dyDescent="0.2">
      <c r="A536" s="113">
        <v>176</v>
      </c>
      <c r="B536" s="114" t="s">
        <v>513</v>
      </c>
      <c r="C536" s="115" t="s">
        <v>514</v>
      </c>
      <c r="D536" s="116" t="s">
        <v>515</v>
      </c>
      <c r="E536" s="117" t="s">
        <v>310</v>
      </c>
      <c r="F536" s="105"/>
      <c r="G536" s="120">
        <v>2</v>
      </c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19">
        <v>2</v>
      </c>
      <c r="U536" s="107"/>
    </row>
    <row r="537" spans="1:21" s="56" customFormat="1" ht="19.149999999999999" customHeight="1" x14ac:dyDescent="0.2">
      <c r="A537" s="98" t="s">
        <v>487</v>
      </c>
      <c r="B537" s="99"/>
      <c r="C537" s="99"/>
      <c r="D537" s="99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</row>
    <row r="538" spans="1:21" s="56" customFormat="1" ht="89.25" x14ac:dyDescent="0.2">
      <c r="A538" s="113">
        <v>177</v>
      </c>
      <c r="B538" s="114" t="s">
        <v>516</v>
      </c>
      <c r="C538" s="115" t="s">
        <v>517</v>
      </c>
      <c r="D538" s="116" t="s">
        <v>255</v>
      </c>
      <c r="E538" s="117" t="s">
        <v>256</v>
      </c>
      <c r="F538" s="118">
        <v>7953153.1500000004</v>
      </c>
      <c r="G538" s="120">
        <v>1</v>
      </c>
      <c r="H538" s="119">
        <v>7953153.1500000004</v>
      </c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19">
        <v>1</v>
      </c>
      <c r="U538" s="119">
        <v>7953153.1500000004</v>
      </c>
    </row>
    <row r="539" spans="1:21" s="56" customFormat="1" ht="25.5" x14ac:dyDescent="0.2">
      <c r="A539" s="113">
        <v>178</v>
      </c>
      <c r="B539" s="114" t="s">
        <v>518</v>
      </c>
      <c r="C539" s="115" t="s">
        <v>519</v>
      </c>
      <c r="D539" s="116" t="s">
        <v>503</v>
      </c>
      <c r="E539" s="117" t="s">
        <v>310</v>
      </c>
      <c r="F539" s="105"/>
      <c r="G539" s="120">
        <v>2</v>
      </c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19">
        <v>2</v>
      </c>
      <c r="U539" s="107"/>
    </row>
    <row r="540" spans="1:21" s="56" customFormat="1" ht="38.25" x14ac:dyDescent="0.2">
      <c r="A540" s="113">
        <v>179</v>
      </c>
      <c r="B540" s="114" t="s">
        <v>520</v>
      </c>
      <c r="C540" s="115" t="s">
        <v>521</v>
      </c>
      <c r="D540" s="116" t="s">
        <v>506</v>
      </c>
      <c r="E540" s="117" t="s">
        <v>310</v>
      </c>
      <c r="F540" s="105"/>
      <c r="G540" s="120">
        <v>1</v>
      </c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19">
        <v>1</v>
      </c>
      <c r="U540" s="107"/>
    </row>
    <row r="541" spans="1:21" s="56" customFormat="1" ht="25.5" x14ac:dyDescent="0.2">
      <c r="A541" s="113">
        <v>180</v>
      </c>
      <c r="B541" s="114" t="s">
        <v>522</v>
      </c>
      <c r="C541" s="115" t="s">
        <v>511</v>
      </c>
      <c r="D541" s="116" t="s">
        <v>509</v>
      </c>
      <c r="E541" s="117" t="s">
        <v>310</v>
      </c>
      <c r="F541" s="105"/>
      <c r="G541" s="120">
        <v>1</v>
      </c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19">
        <v>1</v>
      </c>
      <c r="U541" s="107"/>
    </row>
    <row r="542" spans="1:21" s="56" customFormat="1" ht="38.25" x14ac:dyDescent="0.2">
      <c r="A542" s="113">
        <v>181</v>
      </c>
      <c r="B542" s="114" t="s">
        <v>523</v>
      </c>
      <c r="C542" s="115" t="s">
        <v>505</v>
      </c>
      <c r="D542" s="116" t="s">
        <v>512</v>
      </c>
      <c r="E542" s="117" t="s">
        <v>310</v>
      </c>
      <c r="F542" s="105"/>
      <c r="G542" s="120">
        <v>16</v>
      </c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19">
        <v>16</v>
      </c>
      <c r="U542" s="107"/>
    </row>
    <row r="543" spans="1:21" s="56" customFormat="1" ht="25.5" x14ac:dyDescent="0.2">
      <c r="A543" s="113">
        <v>182</v>
      </c>
      <c r="B543" s="114" t="s">
        <v>524</v>
      </c>
      <c r="C543" s="115" t="s">
        <v>525</v>
      </c>
      <c r="D543" s="116" t="s">
        <v>515</v>
      </c>
      <c r="E543" s="117" t="s">
        <v>310</v>
      </c>
      <c r="F543" s="105"/>
      <c r="G543" s="120">
        <v>2</v>
      </c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19">
        <v>2</v>
      </c>
      <c r="U543" s="107"/>
    </row>
    <row r="544" spans="1:21" s="56" customFormat="1" ht="25.5" x14ac:dyDescent="0.2">
      <c r="A544" s="113">
        <v>183</v>
      </c>
      <c r="B544" s="114" t="s">
        <v>526</v>
      </c>
      <c r="C544" s="115" t="s">
        <v>527</v>
      </c>
      <c r="D544" s="116" t="s">
        <v>528</v>
      </c>
      <c r="E544" s="117" t="s">
        <v>310</v>
      </c>
      <c r="F544" s="105"/>
      <c r="G544" s="120">
        <v>2</v>
      </c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19">
        <v>2</v>
      </c>
      <c r="U544" s="107"/>
    </row>
    <row r="545" spans="1:21" s="56" customFormat="1" ht="89.25" x14ac:dyDescent="0.2">
      <c r="A545" s="113">
        <v>184</v>
      </c>
      <c r="B545" s="114" t="s">
        <v>529</v>
      </c>
      <c r="C545" s="115" t="s">
        <v>489</v>
      </c>
      <c r="D545" s="116" t="s">
        <v>255</v>
      </c>
      <c r="E545" s="117" t="s">
        <v>310</v>
      </c>
      <c r="F545" s="118">
        <v>48553.68</v>
      </c>
      <c r="G545" s="120">
        <v>2</v>
      </c>
      <c r="H545" s="119">
        <v>97107.36</v>
      </c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19">
        <v>2</v>
      </c>
      <c r="U545" s="119">
        <v>97107.36</v>
      </c>
    </row>
    <row r="546" spans="1:21" s="56" customFormat="1" x14ac:dyDescent="0.2">
      <c r="A546" s="109" t="s">
        <v>75</v>
      </c>
      <c r="B546" s="110"/>
      <c r="C546" s="110"/>
      <c r="D546" s="110"/>
      <c r="E546" s="104"/>
      <c r="F546" s="105"/>
      <c r="G546" s="105"/>
      <c r="H546" s="126">
        <f>45366.84*4.4103</f>
        <v>200081.37445199999</v>
      </c>
      <c r="I546" s="127"/>
      <c r="J546" s="126"/>
      <c r="K546" s="126"/>
      <c r="L546" s="127"/>
      <c r="M546" s="126"/>
      <c r="N546" s="126"/>
      <c r="O546" s="127"/>
      <c r="P546" s="126"/>
      <c r="Q546" s="126"/>
      <c r="R546" s="127"/>
      <c r="S546" s="126"/>
      <c r="T546" s="127"/>
      <c r="U546" s="126">
        <f>45366.84*4.4103</f>
        <v>200081.37445199999</v>
      </c>
    </row>
    <row r="547" spans="1:21" s="56" customFormat="1" outlineLevel="1" x14ac:dyDescent="0.2">
      <c r="A547" s="111" t="s">
        <v>76</v>
      </c>
      <c r="B547" s="110"/>
      <c r="C547" s="110"/>
      <c r="D547" s="110"/>
      <c r="E547" s="104"/>
      <c r="F547" s="105"/>
      <c r="G547" s="105"/>
      <c r="H547" s="126"/>
      <c r="I547" s="127"/>
      <c r="J547" s="126"/>
      <c r="K547" s="126"/>
      <c r="L547" s="127"/>
      <c r="M547" s="126"/>
      <c r="N547" s="126"/>
      <c r="O547" s="127"/>
      <c r="P547" s="126"/>
      <c r="Q547" s="126"/>
      <c r="R547" s="127"/>
      <c r="S547" s="126"/>
      <c r="T547" s="127"/>
      <c r="U547" s="126"/>
    </row>
    <row r="548" spans="1:21" s="56" customFormat="1" outlineLevel="1" x14ac:dyDescent="0.2">
      <c r="A548" s="111" t="s">
        <v>77</v>
      </c>
      <c r="B548" s="110"/>
      <c r="C548" s="110"/>
      <c r="D548" s="110"/>
      <c r="E548" s="104"/>
      <c r="F548" s="105"/>
      <c r="G548" s="105"/>
      <c r="H548" s="126"/>
      <c r="I548" s="127"/>
      <c r="J548" s="126"/>
      <c r="K548" s="126"/>
      <c r="L548" s="127"/>
      <c r="M548" s="126"/>
      <c r="N548" s="126"/>
      <c r="O548" s="127"/>
      <c r="P548" s="126"/>
      <c r="Q548" s="126"/>
      <c r="R548" s="127"/>
      <c r="S548" s="126"/>
      <c r="T548" s="127"/>
      <c r="U548" s="126"/>
    </row>
    <row r="549" spans="1:21" s="56" customFormat="1" outlineLevel="1" x14ac:dyDescent="0.2">
      <c r="A549" s="111" t="s">
        <v>78</v>
      </c>
      <c r="B549" s="110"/>
      <c r="C549" s="110"/>
      <c r="D549" s="110"/>
      <c r="E549" s="104"/>
      <c r="F549" s="105"/>
      <c r="G549" s="105"/>
      <c r="H549" s="126"/>
      <c r="I549" s="127"/>
      <c r="J549" s="126"/>
      <c r="K549" s="126"/>
      <c r="L549" s="127"/>
      <c r="M549" s="126"/>
      <c r="N549" s="126"/>
      <c r="O549" s="127"/>
      <c r="P549" s="126"/>
      <c r="Q549" s="126"/>
      <c r="R549" s="127"/>
      <c r="S549" s="126"/>
      <c r="T549" s="127"/>
      <c r="U549" s="126"/>
    </row>
    <row r="550" spans="1:21" s="56" customFormat="1" outlineLevel="1" x14ac:dyDescent="0.2">
      <c r="A550" s="111" t="s">
        <v>266</v>
      </c>
      <c r="B550" s="110"/>
      <c r="C550" s="110"/>
      <c r="D550" s="110"/>
      <c r="E550" s="104"/>
      <c r="F550" s="105"/>
      <c r="G550" s="105"/>
      <c r="H550" s="126">
        <f>45366.84*4.4103</f>
        <v>200081.37445199999</v>
      </c>
      <c r="I550" s="127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126">
        <f>45366.84*4.4103</f>
        <v>200081.37445199999</v>
      </c>
    </row>
    <row r="551" spans="1:21" s="56" customFormat="1" x14ac:dyDescent="0.2">
      <c r="A551" s="109" t="s">
        <v>79</v>
      </c>
      <c r="B551" s="110"/>
      <c r="C551" s="110"/>
      <c r="D551" s="110"/>
      <c r="E551" s="104"/>
      <c r="F551" s="105"/>
      <c r="G551" s="105"/>
      <c r="H551" s="126"/>
      <c r="I551" s="127"/>
      <c r="J551" s="126"/>
      <c r="K551" s="126"/>
      <c r="L551" s="127"/>
      <c r="M551" s="126"/>
      <c r="N551" s="126"/>
      <c r="O551" s="127"/>
      <c r="P551" s="126"/>
      <c r="Q551" s="126"/>
      <c r="R551" s="127"/>
      <c r="S551" s="126"/>
      <c r="T551" s="127"/>
      <c r="U551" s="126"/>
    </row>
    <row r="552" spans="1:21" s="56" customFormat="1" x14ac:dyDescent="0.2">
      <c r="A552" s="109" t="s">
        <v>80</v>
      </c>
      <c r="B552" s="110"/>
      <c r="C552" s="110"/>
      <c r="D552" s="110"/>
      <c r="E552" s="104"/>
      <c r="F552" s="105"/>
      <c r="G552" s="105"/>
      <c r="H552" s="126"/>
      <c r="I552" s="127"/>
      <c r="J552" s="126"/>
      <c r="K552" s="126"/>
      <c r="L552" s="127"/>
      <c r="M552" s="126"/>
      <c r="N552" s="126"/>
      <c r="O552" s="127"/>
      <c r="P552" s="126"/>
      <c r="Q552" s="126"/>
      <c r="R552" s="127"/>
      <c r="S552" s="126"/>
      <c r="T552" s="127"/>
      <c r="U552" s="126"/>
    </row>
    <row r="553" spans="1:21" s="56" customFormat="1" x14ac:dyDescent="0.2">
      <c r="A553" s="109" t="s">
        <v>81</v>
      </c>
      <c r="B553" s="110"/>
      <c r="C553" s="110"/>
      <c r="D553" s="110"/>
      <c r="E553" s="104"/>
      <c r="F553" s="105"/>
      <c r="G553" s="105"/>
      <c r="H553" s="126">
        <f>45366.84*4.4103</f>
        <v>200081.37445199999</v>
      </c>
      <c r="I553" s="127"/>
      <c r="J553" s="126"/>
      <c r="K553" s="126"/>
      <c r="L553" s="127"/>
      <c r="M553" s="126"/>
      <c r="N553" s="126"/>
      <c r="O553" s="127"/>
      <c r="P553" s="126"/>
      <c r="Q553" s="126"/>
      <c r="R553" s="127"/>
      <c r="S553" s="126"/>
      <c r="T553" s="127"/>
      <c r="U553" s="126">
        <f>45366.84*4.4103</f>
        <v>200081.37445199999</v>
      </c>
    </row>
    <row r="554" spans="1:21" s="56" customFormat="1" x14ac:dyDescent="0.2">
      <c r="A554" s="109" t="s">
        <v>82</v>
      </c>
      <c r="B554" s="110"/>
      <c r="C554" s="110"/>
      <c r="D554" s="110"/>
      <c r="E554" s="104"/>
      <c r="F554" s="105"/>
      <c r="G554" s="105"/>
      <c r="H554" s="128">
        <f>45366.84*4.4103</f>
        <v>200081.37445199999</v>
      </c>
      <c r="I554" s="127"/>
      <c r="J554" s="128"/>
      <c r="K554" s="128"/>
      <c r="L554" s="127"/>
      <c r="M554" s="128"/>
      <c r="N554" s="128"/>
      <c r="O554" s="127"/>
      <c r="P554" s="128"/>
      <c r="Q554" s="128"/>
      <c r="R554" s="127"/>
      <c r="S554" s="128"/>
      <c r="T554" s="127"/>
      <c r="U554" s="128">
        <f>45366.84*4.4103</f>
        <v>200081.37445199999</v>
      </c>
    </row>
    <row r="555" spans="1:21" s="56" customFormat="1" ht="22.5" customHeight="1" x14ac:dyDescent="0.2">
      <c r="A555" s="96" t="s">
        <v>530</v>
      </c>
      <c r="B555" s="97"/>
      <c r="C555" s="97"/>
      <c r="D555" s="97"/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</row>
    <row r="556" spans="1:21" s="56" customFormat="1" ht="19.149999999999999" customHeight="1" x14ac:dyDescent="0.2">
      <c r="A556" s="98" t="s">
        <v>431</v>
      </c>
      <c r="B556" s="99"/>
      <c r="C556" s="99"/>
      <c r="D556" s="99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</row>
    <row r="557" spans="1:21" s="56" customFormat="1" ht="19.149999999999999" customHeight="1" x14ac:dyDescent="0.2">
      <c r="A557" s="98" t="s">
        <v>531</v>
      </c>
      <c r="B557" s="99"/>
      <c r="C557" s="99"/>
      <c r="D557" s="99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</row>
    <row r="558" spans="1:21" s="56" customFormat="1" ht="38.25" x14ac:dyDescent="0.2">
      <c r="A558" s="100">
        <v>185</v>
      </c>
      <c r="B558" s="101" t="s">
        <v>532</v>
      </c>
      <c r="C558" s="102" t="s">
        <v>533</v>
      </c>
      <c r="D558" s="103" t="s">
        <v>534</v>
      </c>
      <c r="E558" s="104" t="s">
        <v>388</v>
      </c>
      <c r="F558" s="105">
        <v>177.71</v>
      </c>
      <c r="G558" s="105">
        <v>24</v>
      </c>
      <c r="H558" s="106">
        <v>4265.04</v>
      </c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6">
        <v>24</v>
      </c>
      <c r="U558" s="106">
        <v>4265.04</v>
      </c>
    </row>
    <row r="559" spans="1:21" s="56" customFormat="1" ht="38.25" x14ac:dyDescent="0.2">
      <c r="A559" s="100">
        <v>186</v>
      </c>
      <c r="B559" s="101" t="s">
        <v>535</v>
      </c>
      <c r="C559" s="102" t="s">
        <v>346</v>
      </c>
      <c r="D559" s="103" t="s">
        <v>536</v>
      </c>
      <c r="E559" s="104" t="s">
        <v>388</v>
      </c>
      <c r="F559" s="105">
        <v>29.47</v>
      </c>
      <c r="G559" s="108">
        <v>6</v>
      </c>
      <c r="H559" s="106">
        <v>176.82</v>
      </c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6">
        <v>6</v>
      </c>
      <c r="U559" s="106">
        <v>176.82</v>
      </c>
    </row>
    <row r="560" spans="1:21" s="56" customFormat="1" ht="38.25" x14ac:dyDescent="0.2">
      <c r="A560" s="100">
        <v>187</v>
      </c>
      <c r="B560" s="101" t="s">
        <v>537</v>
      </c>
      <c r="C560" s="102" t="s">
        <v>348</v>
      </c>
      <c r="D560" s="103" t="s">
        <v>538</v>
      </c>
      <c r="E560" s="104" t="s">
        <v>388</v>
      </c>
      <c r="F560" s="105">
        <v>9.83</v>
      </c>
      <c r="G560" s="108">
        <v>6</v>
      </c>
      <c r="H560" s="106">
        <v>58.98</v>
      </c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6">
        <v>6</v>
      </c>
      <c r="U560" s="106">
        <v>58.98</v>
      </c>
    </row>
    <row r="561" spans="1:21" s="56" customFormat="1" ht="38.25" x14ac:dyDescent="0.2">
      <c r="A561" s="100">
        <v>188</v>
      </c>
      <c r="B561" s="101" t="s">
        <v>539</v>
      </c>
      <c r="C561" s="102" t="s">
        <v>540</v>
      </c>
      <c r="D561" s="103" t="s">
        <v>541</v>
      </c>
      <c r="E561" s="104" t="s">
        <v>388</v>
      </c>
      <c r="F561" s="105">
        <v>41.29</v>
      </c>
      <c r="G561" s="108">
        <v>6</v>
      </c>
      <c r="H561" s="106">
        <v>247.74</v>
      </c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6">
        <v>6</v>
      </c>
      <c r="U561" s="106">
        <v>247.74</v>
      </c>
    </row>
    <row r="562" spans="1:21" s="56" customFormat="1" ht="38.25" x14ac:dyDescent="0.2">
      <c r="A562" s="100">
        <v>189</v>
      </c>
      <c r="B562" s="101" t="s">
        <v>542</v>
      </c>
      <c r="C562" s="102" t="s">
        <v>543</v>
      </c>
      <c r="D562" s="103" t="s">
        <v>544</v>
      </c>
      <c r="E562" s="104" t="s">
        <v>388</v>
      </c>
      <c r="F562" s="105">
        <v>127.74</v>
      </c>
      <c r="G562" s="108">
        <v>6</v>
      </c>
      <c r="H562" s="106">
        <v>766.44</v>
      </c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6">
        <v>6</v>
      </c>
      <c r="U562" s="106">
        <v>766.44</v>
      </c>
    </row>
    <row r="563" spans="1:21" s="56" customFormat="1" ht="38.25" x14ac:dyDescent="0.2">
      <c r="A563" s="100">
        <v>190</v>
      </c>
      <c r="B563" s="101" t="s">
        <v>545</v>
      </c>
      <c r="C563" s="102" t="s">
        <v>546</v>
      </c>
      <c r="D563" s="103" t="s">
        <v>547</v>
      </c>
      <c r="E563" s="104" t="s">
        <v>388</v>
      </c>
      <c r="F563" s="105">
        <v>93.91</v>
      </c>
      <c r="G563" s="108">
        <v>6</v>
      </c>
      <c r="H563" s="106">
        <v>563.46</v>
      </c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6">
        <v>6</v>
      </c>
      <c r="U563" s="106">
        <v>563.46</v>
      </c>
    </row>
    <row r="564" spans="1:21" s="56" customFormat="1" ht="19.149999999999999" customHeight="1" x14ac:dyDescent="0.2">
      <c r="A564" s="98" t="s">
        <v>548</v>
      </c>
      <c r="B564" s="99"/>
      <c r="C564" s="99"/>
      <c r="D564" s="99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</row>
    <row r="565" spans="1:21" s="56" customFormat="1" ht="38.25" x14ac:dyDescent="0.2">
      <c r="A565" s="100">
        <v>191</v>
      </c>
      <c r="B565" s="101" t="s">
        <v>549</v>
      </c>
      <c r="C565" s="102" t="s">
        <v>533</v>
      </c>
      <c r="D565" s="103" t="s">
        <v>534</v>
      </c>
      <c r="E565" s="104" t="s">
        <v>388</v>
      </c>
      <c r="F565" s="105">
        <v>177.71</v>
      </c>
      <c r="G565" s="105">
        <v>48</v>
      </c>
      <c r="H565" s="106">
        <v>8530.08</v>
      </c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6">
        <v>48</v>
      </c>
      <c r="U565" s="106">
        <v>8530.08</v>
      </c>
    </row>
    <row r="566" spans="1:21" s="56" customFormat="1" ht="76.5" x14ac:dyDescent="0.2">
      <c r="A566" s="100">
        <v>192</v>
      </c>
      <c r="B566" s="101" t="s">
        <v>550</v>
      </c>
      <c r="C566" s="102" t="s">
        <v>361</v>
      </c>
      <c r="D566" s="103" t="s">
        <v>261</v>
      </c>
      <c r="E566" s="104" t="s">
        <v>310</v>
      </c>
      <c r="F566" s="105">
        <v>31.95</v>
      </c>
      <c r="G566" s="108">
        <v>12</v>
      </c>
      <c r="H566" s="106">
        <v>383.4</v>
      </c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6">
        <v>12</v>
      </c>
      <c r="U566" s="106">
        <v>383.4</v>
      </c>
    </row>
    <row r="567" spans="1:21" s="56" customFormat="1" ht="38.25" x14ac:dyDescent="0.2">
      <c r="A567" s="100">
        <v>193</v>
      </c>
      <c r="B567" s="101" t="s">
        <v>551</v>
      </c>
      <c r="C567" s="102" t="s">
        <v>348</v>
      </c>
      <c r="D567" s="103" t="s">
        <v>538</v>
      </c>
      <c r="E567" s="104" t="s">
        <v>388</v>
      </c>
      <c r="F567" s="105">
        <v>9.83</v>
      </c>
      <c r="G567" s="108">
        <v>12</v>
      </c>
      <c r="H567" s="106">
        <v>117.96</v>
      </c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6">
        <v>12</v>
      </c>
      <c r="U567" s="106">
        <v>117.96</v>
      </c>
    </row>
    <row r="568" spans="1:21" s="56" customFormat="1" ht="38.25" x14ac:dyDescent="0.2">
      <c r="A568" s="100">
        <v>194</v>
      </c>
      <c r="B568" s="101" t="s">
        <v>552</v>
      </c>
      <c r="C568" s="102" t="s">
        <v>540</v>
      </c>
      <c r="D568" s="103" t="s">
        <v>541</v>
      </c>
      <c r="E568" s="104" t="s">
        <v>388</v>
      </c>
      <c r="F568" s="105">
        <v>41.29</v>
      </c>
      <c r="G568" s="108">
        <v>12</v>
      </c>
      <c r="H568" s="106">
        <v>495.48</v>
      </c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6">
        <v>12</v>
      </c>
      <c r="U568" s="106">
        <v>495.48</v>
      </c>
    </row>
    <row r="569" spans="1:21" s="56" customFormat="1" ht="38.25" x14ac:dyDescent="0.2">
      <c r="A569" s="100">
        <v>195</v>
      </c>
      <c r="B569" s="101" t="s">
        <v>553</v>
      </c>
      <c r="C569" s="102" t="s">
        <v>346</v>
      </c>
      <c r="D569" s="103" t="s">
        <v>536</v>
      </c>
      <c r="E569" s="104" t="s">
        <v>388</v>
      </c>
      <c r="F569" s="105">
        <v>29.47</v>
      </c>
      <c r="G569" s="108">
        <v>18</v>
      </c>
      <c r="H569" s="106">
        <v>530.46</v>
      </c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6">
        <v>18</v>
      </c>
      <c r="U569" s="106">
        <v>530.46</v>
      </c>
    </row>
    <row r="570" spans="1:21" s="56" customFormat="1" ht="38.25" x14ac:dyDescent="0.2">
      <c r="A570" s="100">
        <v>196</v>
      </c>
      <c r="B570" s="101" t="s">
        <v>554</v>
      </c>
      <c r="C570" s="102" t="s">
        <v>555</v>
      </c>
      <c r="D570" s="103" t="s">
        <v>556</v>
      </c>
      <c r="E570" s="104" t="s">
        <v>388</v>
      </c>
      <c r="F570" s="105">
        <v>133.47</v>
      </c>
      <c r="G570" s="108">
        <v>6</v>
      </c>
      <c r="H570" s="106">
        <v>800.82</v>
      </c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6">
        <v>6</v>
      </c>
      <c r="U570" s="106">
        <v>800.82</v>
      </c>
    </row>
    <row r="571" spans="1:21" s="56" customFormat="1" ht="38.25" x14ac:dyDescent="0.2">
      <c r="A571" s="100">
        <v>197</v>
      </c>
      <c r="B571" s="101" t="s">
        <v>557</v>
      </c>
      <c r="C571" s="102" t="s">
        <v>558</v>
      </c>
      <c r="D571" s="103" t="s">
        <v>559</v>
      </c>
      <c r="E571" s="104" t="s">
        <v>388</v>
      </c>
      <c r="F571" s="105">
        <v>33.01</v>
      </c>
      <c r="G571" s="108">
        <v>6</v>
      </c>
      <c r="H571" s="106">
        <v>198.06</v>
      </c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6">
        <v>6</v>
      </c>
      <c r="U571" s="106">
        <v>198.06</v>
      </c>
    </row>
    <row r="572" spans="1:21" s="56" customFormat="1" ht="38.25" x14ac:dyDescent="0.2">
      <c r="A572" s="100">
        <v>198</v>
      </c>
      <c r="B572" s="101" t="s">
        <v>560</v>
      </c>
      <c r="C572" s="102" t="s">
        <v>561</v>
      </c>
      <c r="D572" s="103" t="s">
        <v>544</v>
      </c>
      <c r="E572" s="104" t="s">
        <v>388</v>
      </c>
      <c r="F572" s="105">
        <v>127.74</v>
      </c>
      <c r="G572" s="108">
        <v>6</v>
      </c>
      <c r="H572" s="106">
        <v>766.44</v>
      </c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6">
        <v>6</v>
      </c>
      <c r="U572" s="106">
        <v>766.44</v>
      </c>
    </row>
    <row r="573" spans="1:21" s="56" customFormat="1" ht="38.25" x14ac:dyDescent="0.2">
      <c r="A573" s="100">
        <v>199</v>
      </c>
      <c r="B573" s="101" t="s">
        <v>562</v>
      </c>
      <c r="C573" s="102" t="s">
        <v>563</v>
      </c>
      <c r="D573" s="103" t="s">
        <v>564</v>
      </c>
      <c r="E573" s="104" t="s">
        <v>388</v>
      </c>
      <c r="F573" s="105">
        <v>42.06</v>
      </c>
      <c r="G573" s="108">
        <v>6</v>
      </c>
      <c r="H573" s="106">
        <v>252.36</v>
      </c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6">
        <v>6</v>
      </c>
      <c r="U573" s="106">
        <v>252.36</v>
      </c>
    </row>
    <row r="574" spans="1:21" s="56" customFormat="1" ht="38.25" x14ac:dyDescent="0.2">
      <c r="A574" s="100">
        <v>200</v>
      </c>
      <c r="B574" s="101" t="s">
        <v>565</v>
      </c>
      <c r="C574" s="102" t="s">
        <v>546</v>
      </c>
      <c r="D574" s="103" t="s">
        <v>547</v>
      </c>
      <c r="E574" s="104" t="s">
        <v>388</v>
      </c>
      <c r="F574" s="105">
        <v>93.91</v>
      </c>
      <c r="G574" s="108">
        <v>6</v>
      </c>
      <c r="H574" s="106">
        <v>563.46</v>
      </c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6">
        <v>6</v>
      </c>
      <c r="U574" s="106">
        <v>563.46</v>
      </c>
    </row>
    <row r="575" spans="1:21" s="56" customFormat="1" x14ac:dyDescent="0.2">
      <c r="A575" s="109" t="s">
        <v>75</v>
      </c>
      <c r="B575" s="110"/>
      <c r="C575" s="110"/>
      <c r="D575" s="110"/>
      <c r="E575" s="104"/>
      <c r="F575" s="105"/>
      <c r="G575" s="105"/>
      <c r="H575" s="126">
        <f>18717*5.8108</f>
        <v>108760.7436</v>
      </c>
      <c r="I575" s="127"/>
      <c r="J575" s="126"/>
      <c r="K575" s="126"/>
      <c r="L575" s="127"/>
      <c r="M575" s="126"/>
      <c r="N575" s="126"/>
      <c r="O575" s="127"/>
      <c r="P575" s="126"/>
      <c r="Q575" s="126"/>
      <c r="R575" s="127"/>
      <c r="S575" s="126"/>
      <c r="T575" s="127"/>
      <c r="U575" s="126">
        <f>18717*5.8108</f>
        <v>108760.7436</v>
      </c>
    </row>
    <row r="576" spans="1:21" s="56" customFormat="1" outlineLevel="1" x14ac:dyDescent="0.2">
      <c r="A576" s="111" t="s">
        <v>76</v>
      </c>
      <c r="B576" s="110"/>
      <c r="C576" s="110"/>
      <c r="D576" s="110"/>
      <c r="E576" s="104"/>
      <c r="F576" s="105"/>
      <c r="G576" s="105"/>
      <c r="H576" s="126">
        <f>18717*5.8108</f>
        <v>108760.7436</v>
      </c>
      <c r="I576" s="127"/>
      <c r="J576" s="126"/>
      <c r="K576" s="126"/>
      <c r="L576" s="127"/>
      <c r="M576" s="126"/>
      <c r="N576" s="126"/>
      <c r="O576" s="127"/>
      <c r="P576" s="126"/>
      <c r="Q576" s="126"/>
      <c r="R576" s="127"/>
      <c r="S576" s="126"/>
      <c r="T576" s="127"/>
      <c r="U576" s="126">
        <f>18717*5.8108</f>
        <v>108760.7436</v>
      </c>
    </row>
    <row r="577" spans="1:21" s="56" customFormat="1" outlineLevel="1" x14ac:dyDescent="0.2">
      <c r="A577" s="111" t="s">
        <v>77</v>
      </c>
      <c r="B577" s="110"/>
      <c r="C577" s="110"/>
      <c r="D577" s="110"/>
      <c r="E577" s="104"/>
      <c r="F577" s="105"/>
      <c r="G577" s="105"/>
      <c r="H577" s="126"/>
      <c r="I577" s="127"/>
      <c r="J577" s="126"/>
      <c r="K577" s="126"/>
      <c r="L577" s="127"/>
      <c r="M577" s="126"/>
      <c r="N577" s="126"/>
      <c r="O577" s="127"/>
      <c r="P577" s="126"/>
      <c r="Q577" s="126"/>
      <c r="R577" s="127"/>
      <c r="S577" s="126"/>
      <c r="T577" s="127"/>
      <c r="U577" s="126"/>
    </row>
    <row r="578" spans="1:21" s="56" customFormat="1" outlineLevel="1" x14ac:dyDescent="0.2">
      <c r="A578" s="111" t="s">
        <v>78</v>
      </c>
      <c r="B578" s="110"/>
      <c r="C578" s="110"/>
      <c r="D578" s="110"/>
      <c r="E578" s="104"/>
      <c r="F578" s="105"/>
      <c r="G578" s="105"/>
      <c r="H578" s="126"/>
      <c r="I578" s="127"/>
      <c r="J578" s="126"/>
      <c r="K578" s="126"/>
      <c r="L578" s="127"/>
      <c r="M578" s="126"/>
      <c r="N578" s="126"/>
      <c r="O578" s="127"/>
      <c r="P578" s="126"/>
      <c r="Q578" s="126"/>
      <c r="R578" s="127"/>
      <c r="S578" s="126"/>
      <c r="T578" s="127"/>
      <c r="U578" s="126"/>
    </row>
    <row r="579" spans="1:21" s="56" customFormat="1" x14ac:dyDescent="0.2">
      <c r="A579" s="109" t="s">
        <v>79</v>
      </c>
      <c r="B579" s="110"/>
      <c r="C579" s="110"/>
      <c r="D579" s="110"/>
      <c r="E579" s="104"/>
      <c r="F579" s="105"/>
      <c r="G579" s="105"/>
      <c r="H579" s="126"/>
      <c r="I579" s="127"/>
      <c r="J579" s="126"/>
      <c r="K579" s="126"/>
      <c r="L579" s="127"/>
      <c r="M579" s="126"/>
      <c r="N579" s="126"/>
      <c r="O579" s="127"/>
      <c r="P579" s="126"/>
      <c r="Q579" s="126"/>
      <c r="R579" s="127"/>
      <c r="S579" s="126"/>
      <c r="T579" s="127"/>
      <c r="U579" s="126"/>
    </row>
    <row r="580" spans="1:21" s="56" customFormat="1" x14ac:dyDescent="0.2">
      <c r="A580" s="109" t="s">
        <v>80</v>
      </c>
      <c r="B580" s="110"/>
      <c r="C580" s="110"/>
      <c r="D580" s="110"/>
      <c r="E580" s="104"/>
      <c r="F580" s="105"/>
      <c r="G580" s="105"/>
      <c r="H580" s="126"/>
      <c r="I580" s="127"/>
      <c r="J580" s="126"/>
      <c r="K580" s="126"/>
      <c r="L580" s="127"/>
      <c r="M580" s="126"/>
      <c r="N580" s="126"/>
      <c r="O580" s="127"/>
      <c r="P580" s="126"/>
      <c r="Q580" s="126"/>
      <c r="R580" s="127"/>
      <c r="S580" s="126"/>
      <c r="T580" s="127"/>
      <c r="U580" s="126"/>
    </row>
    <row r="581" spans="1:21" s="56" customFormat="1" x14ac:dyDescent="0.2">
      <c r="A581" s="109" t="s">
        <v>81</v>
      </c>
      <c r="B581" s="110"/>
      <c r="C581" s="110"/>
      <c r="D581" s="110"/>
      <c r="E581" s="104"/>
      <c r="F581" s="105"/>
      <c r="G581" s="105"/>
      <c r="H581" s="126">
        <f>18717*5.8108</f>
        <v>108760.7436</v>
      </c>
      <c r="I581" s="127"/>
      <c r="J581" s="126"/>
      <c r="K581" s="126"/>
      <c r="L581" s="127"/>
      <c r="M581" s="126"/>
      <c r="N581" s="126"/>
      <c r="O581" s="127"/>
      <c r="P581" s="126"/>
      <c r="Q581" s="126"/>
      <c r="R581" s="127"/>
      <c r="S581" s="126"/>
      <c r="T581" s="127"/>
      <c r="U581" s="126">
        <f>18717*5.8108</f>
        <v>108760.7436</v>
      </c>
    </row>
    <row r="582" spans="1:21" s="56" customFormat="1" x14ac:dyDescent="0.2">
      <c r="A582" s="109" t="s">
        <v>82</v>
      </c>
      <c r="B582" s="110"/>
      <c r="C582" s="110"/>
      <c r="D582" s="110"/>
      <c r="E582" s="104"/>
      <c r="F582" s="105"/>
      <c r="G582" s="105"/>
      <c r="H582" s="128">
        <f>18717*5.8108</f>
        <v>108760.7436</v>
      </c>
      <c r="I582" s="127"/>
      <c r="J582" s="128"/>
      <c r="K582" s="128"/>
      <c r="L582" s="127"/>
      <c r="M582" s="128"/>
      <c r="N582" s="128"/>
      <c r="O582" s="127"/>
      <c r="P582" s="128"/>
      <c r="Q582" s="128"/>
      <c r="R582" s="127"/>
      <c r="S582" s="128"/>
      <c r="T582" s="127"/>
      <c r="U582" s="128">
        <f>18717*5.8108</f>
        <v>108760.7436</v>
      </c>
    </row>
    <row r="583" spans="1:21" s="56" customFormat="1" ht="22.5" customHeight="1" x14ac:dyDescent="0.2">
      <c r="A583" s="96" t="s">
        <v>566</v>
      </c>
      <c r="B583" s="97"/>
      <c r="C583" s="97"/>
      <c r="D583" s="97"/>
      <c r="E583" s="9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</row>
    <row r="584" spans="1:21" s="56" customFormat="1" ht="19.149999999999999" customHeight="1" x14ac:dyDescent="0.2">
      <c r="A584" s="98" t="s">
        <v>567</v>
      </c>
      <c r="B584" s="99"/>
      <c r="C584" s="99"/>
      <c r="D584" s="99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</row>
    <row r="585" spans="1:21" s="56" customFormat="1" ht="38.25" x14ac:dyDescent="0.2">
      <c r="A585" s="100">
        <v>201</v>
      </c>
      <c r="B585" s="101" t="s">
        <v>568</v>
      </c>
      <c r="C585" s="102" t="s">
        <v>533</v>
      </c>
      <c r="D585" s="103" t="s">
        <v>534</v>
      </c>
      <c r="E585" s="104" t="s">
        <v>388</v>
      </c>
      <c r="F585" s="105">
        <v>177.71</v>
      </c>
      <c r="G585" s="108">
        <v>44</v>
      </c>
      <c r="H585" s="106">
        <v>7819.24</v>
      </c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6">
        <v>44</v>
      </c>
      <c r="U585" s="106">
        <v>7819.24</v>
      </c>
    </row>
    <row r="586" spans="1:21" s="56" customFormat="1" ht="38.25" x14ac:dyDescent="0.2">
      <c r="A586" s="100">
        <v>202</v>
      </c>
      <c r="B586" s="101" t="s">
        <v>569</v>
      </c>
      <c r="C586" s="102" t="s">
        <v>346</v>
      </c>
      <c r="D586" s="103" t="s">
        <v>536</v>
      </c>
      <c r="E586" s="104" t="s">
        <v>388</v>
      </c>
      <c r="F586" s="105">
        <v>29.47</v>
      </c>
      <c r="G586" s="108">
        <v>11</v>
      </c>
      <c r="H586" s="106">
        <v>324.17</v>
      </c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6">
        <v>11</v>
      </c>
      <c r="U586" s="106">
        <v>324.17</v>
      </c>
    </row>
    <row r="587" spans="1:21" s="56" customFormat="1" ht="38.25" x14ac:dyDescent="0.2">
      <c r="A587" s="100">
        <v>203</v>
      </c>
      <c r="B587" s="101" t="s">
        <v>570</v>
      </c>
      <c r="C587" s="102" t="s">
        <v>348</v>
      </c>
      <c r="D587" s="103" t="s">
        <v>538</v>
      </c>
      <c r="E587" s="104" t="s">
        <v>388</v>
      </c>
      <c r="F587" s="105">
        <v>9.83</v>
      </c>
      <c r="G587" s="108">
        <v>11</v>
      </c>
      <c r="H587" s="106">
        <v>108.13</v>
      </c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6">
        <v>11</v>
      </c>
      <c r="U587" s="106">
        <v>108.13</v>
      </c>
    </row>
    <row r="588" spans="1:21" s="56" customFormat="1" ht="38.25" x14ac:dyDescent="0.2">
      <c r="A588" s="100">
        <v>204</v>
      </c>
      <c r="B588" s="101" t="s">
        <v>571</v>
      </c>
      <c r="C588" s="102" t="s">
        <v>572</v>
      </c>
      <c r="D588" s="103" t="s">
        <v>573</v>
      </c>
      <c r="E588" s="104" t="s">
        <v>388</v>
      </c>
      <c r="F588" s="105">
        <v>40.24</v>
      </c>
      <c r="G588" s="108">
        <v>11</v>
      </c>
      <c r="H588" s="106">
        <v>442.64</v>
      </c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6">
        <v>11</v>
      </c>
      <c r="U588" s="106">
        <v>442.64</v>
      </c>
    </row>
    <row r="589" spans="1:21" s="56" customFormat="1" x14ac:dyDescent="0.2">
      <c r="A589" s="109" t="s">
        <v>75</v>
      </c>
      <c r="B589" s="110"/>
      <c r="C589" s="110"/>
      <c r="D589" s="110"/>
      <c r="E589" s="104"/>
      <c r="F589" s="105"/>
      <c r="G589" s="105"/>
      <c r="H589" s="128">
        <f>8694.18*5.8108</f>
        <v>50520.141144000008</v>
      </c>
      <c r="I589" s="129"/>
      <c r="J589" s="128"/>
      <c r="K589" s="128"/>
      <c r="L589" s="129"/>
      <c r="M589" s="128"/>
      <c r="N589" s="128"/>
      <c r="O589" s="129"/>
      <c r="P589" s="128"/>
      <c r="Q589" s="128"/>
      <c r="R589" s="129"/>
      <c r="S589" s="128"/>
      <c r="T589" s="129"/>
      <c r="U589" s="128">
        <f>8694.18*5.8108</f>
        <v>50520.141144000008</v>
      </c>
    </row>
    <row r="590" spans="1:21" s="56" customFormat="1" outlineLevel="1" x14ac:dyDescent="0.2">
      <c r="A590" s="111" t="s">
        <v>76</v>
      </c>
      <c r="B590" s="110"/>
      <c r="C590" s="110"/>
      <c r="D590" s="110"/>
      <c r="E590" s="104"/>
      <c r="F590" s="105"/>
      <c r="G590" s="105"/>
      <c r="H590" s="128">
        <f>8694.18*5.8108</f>
        <v>50520.141144000008</v>
      </c>
      <c r="I590" s="129"/>
      <c r="J590" s="128"/>
      <c r="K590" s="128"/>
      <c r="L590" s="129"/>
      <c r="M590" s="128"/>
      <c r="N590" s="128"/>
      <c r="O590" s="129"/>
      <c r="P590" s="128"/>
      <c r="Q590" s="128"/>
      <c r="R590" s="129"/>
      <c r="S590" s="128"/>
      <c r="T590" s="129"/>
      <c r="U590" s="128">
        <f>8694.18*5.8108</f>
        <v>50520.141144000008</v>
      </c>
    </row>
    <row r="591" spans="1:21" s="56" customFormat="1" outlineLevel="1" x14ac:dyDescent="0.2">
      <c r="A591" s="111" t="s">
        <v>77</v>
      </c>
      <c r="B591" s="110"/>
      <c r="C591" s="110"/>
      <c r="D591" s="110"/>
      <c r="E591" s="104"/>
      <c r="F591" s="105"/>
      <c r="G591" s="105"/>
      <c r="H591" s="128"/>
      <c r="I591" s="129"/>
      <c r="J591" s="128"/>
      <c r="K591" s="128"/>
      <c r="L591" s="129"/>
      <c r="M591" s="128"/>
      <c r="N591" s="128"/>
      <c r="O591" s="129"/>
      <c r="P591" s="128"/>
      <c r="Q591" s="128"/>
      <c r="R591" s="129"/>
      <c r="S591" s="128"/>
      <c r="T591" s="129"/>
      <c r="U591" s="128"/>
    </row>
    <row r="592" spans="1:21" s="56" customFormat="1" outlineLevel="1" x14ac:dyDescent="0.2">
      <c r="A592" s="111" t="s">
        <v>78</v>
      </c>
      <c r="B592" s="110"/>
      <c r="C592" s="110"/>
      <c r="D592" s="110"/>
      <c r="E592" s="104"/>
      <c r="F592" s="105"/>
      <c r="G592" s="105"/>
      <c r="H592" s="128"/>
      <c r="I592" s="129"/>
      <c r="J592" s="128"/>
      <c r="K592" s="128"/>
      <c r="L592" s="129"/>
      <c r="M592" s="128"/>
      <c r="N592" s="128"/>
      <c r="O592" s="129"/>
      <c r="P592" s="128"/>
      <c r="Q592" s="128"/>
      <c r="R592" s="129"/>
      <c r="S592" s="128"/>
      <c r="T592" s="129"/>
      <c r="U592" s="128"/>
    </row>
    <row r="593" spans="1:21" s="56" customFormat="1" x14ac:dyDescent="0.2">
      <c r="A593" s="109" t="s">
        <v>79</v>
      </c>
      <c r="B593" s="110"/>
      <c r="C593" s="110"/>
      <c r="D593" s="110"/>
      <c r="E593" s="104"/>
      <c r="F593" s="105"/>
      <c r="G593" s="105"/>
      <c r="H593" s="128"/>
      <c r="I593" s="129"/>
      <c r="J593" s="128"/>
      <c r="K593" s="128"/>
      <c r="L593" s="129"/>
      <c r="M593" s="128"/>
      <c r="N593" s="128"/>
      <c r="O593" s="129"/>
      <c r="P593" s="128"/>
      <c r="Q593" s="128"/>
      <c r="R593" s="129"/>
      <c r="S593" s="128"/>
      <c r="T593" s="129"/>
      <c r="U593" s="128"/>
    </row>
    <row r="594" spans="1:21" s="56" customFormat="1" x14ac:dyDescent="0.2">
      <c r="A594" s="109" t="s">
        <v>80</v>
      </c>
      <c r="B594" s="110"/>
      <c r="C594" s="110"/>
      <c r="D594" s="110"/>
      <c r="E594" s="104"/>
      <c r="F594" s="105"/>
      <c r="G594" s="105"/>
      <c r="H594" s="128"/>
      <c r="I594" s="129"/>
      <c r="J594" s="128"/>
      <c r="K594" s="128"/>
      <c r="L594" s="129"/>
      <c r="M594" s="128"/>
      <c r="N594" s="128"/>
      <c r="O594" s="129"/>
      <c r="P594" s="128"/>
      <c r="Q594" s="128"/>
      <c r="R594" s="129"/>
      <c r="S594" s="128"/>
      <c r="T594" s="129"/>
      <c r="U594" s="128"/>
    </row>
    <row r="595" spans="1:21" s="56" customFormat="1" x14ac:dyDescent="0.2">
      <c r="A595" s="109" t="s">
        <v>81</v>
      </c>
      <c r="B595" s="110"/>
      <c r="C595" s="110"/>
      <c r="D595" s="110"/>
      <c r="E595" s="104"/>
      <c r="F595" s="105"/>
      <c r="G595" s="105"/>
      <c r="H595" s="128">
        <f>8694.18*5.8108</f>
        <v>50520.141144000008</v>
      </c>
      <c r="I595" s="129"/>
      <c r="J595" s="128"/>
      <c r="K595" s="128"/>
      <c r="L595" s="129"/>
      <c r="M595" s="128"/>
      <c r="N595" s="128"/>
      <c r="O595" s="129"/>
      <c r="P595" s="128"/>
      <c r="Q595" s="128"/>
      <c r="R595" s="129"/>
      <c r="S595" s="128"/>
      <c r="T595" s="129"/>
      <c r="U595" s="128">
        <f>8694.18*5.8108</f>
        <v>50520.141144000008</v>
      </c>
    </row>
    <row r="596" spans="1:21" s="56" customFormat="1" x14ac:dyDescent="0.2">
      <c r="A596" s="109" t="s">
        <v>82</v>
      </c>
      <c r="B596" s="110"/>
      <c r="C596" s="110"/>
      <c r="D596" s="110"/>
      <c r="E596" s="104"/>
      <c r="F596" s="105"/>
      <c r="G596" s="105"/>
      <c r="H596" s="128">
        <f>8694.18*5.8108</f>
        <v>50520.141144000008</v>
      </c>
      <c r="I596" s="129"/>
      <c r="J596" s="128"/>
      <c r="K596" s="128"/>
      <c r="L596" s="129"/>
      <c r="M596" s="128"/>
      <c r="N596" s="128"/>
      <c r="O596" s="129"/>
      <c r="P596" s="128"/>
      <c r="Q596" s="128"/>
      <c r="R596" s="129"/>
      <c r="S596" s="128"/>
      <c r="T596" s="129"/>
      <c r="U596" s="128">
        <f>8694.18*5.8108</f>
        <v>50520.141144000008</v>
      </c>
    </row>
    <row r="597" spans="1:21" s="56" customFormat="1" ht="22.5" customHeight="1" x14ac:dyDescent="0.2">
      <c r="A597" s="96" t="s">
        <v>574</v>
      </c>
      <c r="B597" s="97"/>
      <c r="C597" s="97"/>
      <c r="D597" s="97"/>
      <c r="E597" s="9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</row>
    <row r="598" spans="1:21" s="56" customFormat="1" x14ac:dyDescent="0.2">
      <c r="A598" s="121"/>
      <c r="B598" s="99"/>
      <c r="C598" s="99"/>
      <c r="D598" s="99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</row>
    <row r="599" spans="1:21" s="56" customFormat="1" ht="76.5" x14ac:dyDescent="0.2">
      <c r="A599" s="100">
        <v>205</v>
      </c>
      <c r="B599" s="101" t="s">
        <v>575</v>
      </c>
      <c r="C599" s="102" t="s">
        <v>576</v>
      </c>
      <c r="D599" s="103" t="s">
        <v>577</v>
      </c>
      <c r="E599" s="104" t="s">
        <v>380</v>
      </c>
      <c r="F599" s="105">
        <v>80957.960000000006</v>
      </c>
      <c r="G599" s="105">
        <v>0.14974999999999999</v>
      </c>
      <c r="H599" s="106">
        <v>12123.45</v>
      </c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6">
        <v>0.14974999999999999</v>
      </c>
      <c r="U599" s="106">
        <v>12123.45</v>
      </c>
    </row>
    <row r="600" spans="1:21" s="56" customFormat="1" ht="63.75" x14ac:dyDescent="0.2">
      <c r="A600" s="100">
        <v>206</v>
      </c>
      <c r="B600" s="101" t="s">
        <v>578</v>
      </c>
      <c r="C600" s="102" t="s">
        <v>579</v>
      </c>
      <c r="D600" s="103" t="s">
        <v>580</v>
      </c>
      <c r="E600" s="104" t="s">
        <v>581</v>
      </c>
      <c r="F600" s="105">
        <v>53955.97</v>
      </c>
      <c r="G600" s="105">
        <v>0.6</v>
      </c>
      <c r="H600" s="106">
        <v>32373.58</v>
      </c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6">
        <v>0.6</v>
      </c>
      <c r="U600" s="106">
        <v>32373.58</v>
      </c>
    </row>
    <row r="601" spans="1:21" s="56" customFormat="1" ht="76.5" x14ac:dyDescent="0.2">
      <c r="A601" s="100">
        <v>207</v>
      </c>
      <c r="B601" s="101" t="s">
        <v>582</v>
      </c>
      <c r="C601" s="102" t="s">
        <v>583</v>
      </c>
      <c r="D601" s="103" t="s">
        <v>261</v>
      </c>
      <c r="E601" s="104" t="s">
        <v>310</v>
      </c>
      <c r="F601" s="105">
        <v>40.01</v>
      </c>
      <c r="G601" s="108">
        <v>32</v>
      </c>
      <c r="H601" s="106">
        <v>1280.32</v>
      </c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6">
        <v>32</v>
      </c>
      <c r="U601" s="106">
        <v>1280.32</v>
      </c>
    </row>
    <row r="602" spans="1:21" s="56" customFormat="1" ht="76.5" x14ac:dyDescent="0.2">
      <c r="A602" s="100">
        <v>208</v>
      </c>
      <c r="B602" s="101" t="s">
        <v>584</v>
      </c>
      <c r="C602" s="102" t="s">
        <v>585</v>
      </c>
      <c r="D602" s="103" t="s">
        <v>261</v>
      </c>
      <c r="E602" s="104" t="s">
        <v>310</v>
      </c>
      <c r="F602" s="105">
        <v>40.01</v>
      </c>
      <c r="G602" s="108">
        <v>12</v>
      </c>
      <c r="H602" s="106">
        <v>480.12</v>
      </c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6">
        <v>12</v>
      </c>
      <c r="U602" s="106">
        <v>480.12</v>
      </c>
    </row>
    <row r="603" spans="1:21" s="56" customFormat="1" ht="76.5" x14ac:dyDescent="0.2">
      <c r="A603" s="100">
        <v>209</v>
      </c>
      <c r="B603" s="101" t="s">
        <v>586</v>
      </c>
      <c r="C603" s="102" t="s">
        <v>587</v>
      </c>
      <c r="D603" s="103" t="s">
        <v>261</v>
      </c>
      <c r="E603" s="104" t="s">
        <v>310</v>
      </c>
      <c r="F603" s="105">
        <v>20.89</v>
      </c>
      <c r="G603" s="108">
        <v>18</v>
      </c>
      <c r="H603" s="106">
        <v>376.02</v>
      </c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6">
        <v>18</v>
      </c>
      <c r="U603" s="106">
        <v>376.02</v>
      </c>
    </row>
    <row r="604" spans="1:21" s="56" customFormat="1" ht="76.5" x14ac:dyDescent="0.2">
      <c r="A604" s="100">
        <v>210</v>
      </c>
      <c r="B604" s="101" t="s">
        <v>588</v>
      </c>
      <c r="C604" s="102" t="s">
        <v>589</v>
      </c>
      <c r="D604" s="103" t="s">
        <v>261</v>
      </c>
      <c r="E604" s="104" t="s">
        <v>590</v>
      </c>
      <c r="F604" s="105">
        <v>307.69</v>
      </c>
      <c r="G604" s="108">
        <v>9</v>
      </c>
      <c r="H604" s="106">
        <v>2769.21</v>
      </c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6">
        <v>9</v>
      </c>
      <c r="U604" s="106">
        <v>2769.21</v>
      </c>
    </row>
    <row r="605" spans="1:21" s="56" customFormat="1" ht="76.5" x14ac:dyDescent="0.2">
      <c r="A605" s="100">
        <v>211</v>
      </c>
      <c r="B605" s="101" t="s">
        <v>591</v>
      </c>
      <c r="C605" s="102" t="s">
        <v>592</v>
      </c>
      <c r="D605" s="103" t="s">
        <v>261</v>
      </c>
      <c r="E605" s="104" t="s">
        <v>590</v>
      </c>
      <c r="F605" s="105">
        <v>410.26</v>
      </c>
      <c r="G605" s="108">
        <v>12</v>
      </c>
      <c r="H605" s="106">
        <v>4923.12</v>
      </c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6">
        <v>12</v>
      </c>
      <c r="U605" s="106">
        <v>4923.12</v>
      </c>
    </row>
    <row r="606" spans="1:21" s="56" customFormat="1" ht="19.149999999999999" customHeight="1" x14ac:dyDescent="0.2">
      <c r="A606" s="98" t="s">
        <v>441</v>
      </c>
      <c r="B606" s="99"/>
      <c r="C606" s="99"/>
      <c r="D606" s="99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</row>
    <row r="607" spans="1:21" s="56" customFormat="1" ht="102" x14ac:dyDescent="0.2">
      <c r="A607" s="100">
        <v>212</v>
      </c>
      <c r="B607" s="101" t="s">
        <v>593</v>
      </c>
      <c r="C607" s="102" t="s">
        <v>594</v>
      </c>
      <c r="D607" s="103" t="s">
        <v>261</v>
      </c>
      <c r="E607" s="104" t="s">
        <v>310</v>
      </c>
      <c r="F607" s="105">
        <v>3215.7</v>
      </c>
      <c r="G607" s="108">
        <v>4</v>
      </c>
      <c r="H607" s="106">
        <v>12862.8</v>
      </c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6">
        <v>4</v>
      </c>
      <c r="U607" s="106">
        <v>12862.8</v>
      </c>
    </row>
    <row r="608" spans="1:21" s="56" customFormat="1" ht="89.25" x14ac:dyDescent="0.2">
      <c r="A608" s="100">
        <v>213</v>
      </c>
      <c r="B608" s="101" t="s">
        <v>595</v>
      </c>
      <c r="C608" s="102" t="s">
        <v>596</v>
      </c>
      <c r="D608" s="103" t="s">
        <v>261</v>
      </c>
      <c r="E608" s="104" t="s">
        <v>310</v>
      </c>
      <c r="F608" s="105">
        <v>1012.99</v>
      </c>
      <c r="G608" s="108">
        <v>4</v>
      </c>
      <c r="H608" s="106">
        <v>4051.96</v>
      </c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6">
        <v>4</v>
      </c>
      <c r="U608" s="106">
        <v>4051.96</v>
      </c>
    </row>
    <row r="609" spans="1:21" s="56" customFormat="1" ht="76.5" x14ac:dyDescent="0.2">
      <c r="A609" s="100">
        <v>214</v>
      </c>
      <c r="B609" s="101" t="s">
        <v>597</v>
      </c>
      <c r="C609" s="102" t="s">
        <v>598</v>
      </c>
      <c r="D609" s="103" t="s">
        <v>261</v>
      </c>
      <c r="E609" s="104" t="s">
        <v>590</v>
      </c>
      <c r="F609" s="105">
        <v>85.47</v>
      </c>
      <c r="G609" s="108">
        <v>22</v>
      </c>
      <c r="H609" s="106">
        <v>1880.34</v>
      </c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6">
        <v>22</v>
      </c>
      <c r="U609" s="106">
        <v>1880.34</v>
      </c>
    </row>
    <row r="610" spans="1:21" s="56" customFormat="1" ht="38.25" x14ac:dyDescent="0.2">
      <c r="A610" s="100">
        <v>215</v>
      </c>
      <c r="B610" s="101" t="s">
        <v>599</v>
      </c>
      <c r="C610" s="102" t="s">
        <v>600</v>
      </c>
      <c r="D610" s="103" t="s">
        <v>601</v>
      </c>
      <c r="E610" s="104" t="s">
        <v>380</v>
      </c>
      <c r="F610" s="105">
        <v>6881.02</v>
      </c>
      <c r="G610" s="105">
        <v>6.7860000000000004E-3</v>
      </c>
      <c r="H610" s="106">
        <v>46.69</v>
      </c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6">
        <v>6.7860000000000004E-3</v>
      </c>
      <c r="U610" s="106">
        <v>46.69</v>
      </c>
    </row>
    <row r="611" spans="1:21" s="56" customFormat="1" ht="38.25" x14ac:dyDescent="0.2">
      <c r="A611" s="100">
        <v>216</v>
      </c>
      <c r="B611" s="101" t="s">
        <v>602</v>
      </c>
      <c r="C611" s="102" t="s">
        <v>603</v>
      </c>
      <c r="D611" s="103" t="s">
        <v>604</v>
      </c>
      <c r="E611" s="104" t="s">
        <v>380</v>
      </c>
      <c r="F611" s="105">
        <v>7062.49</v>
      </c>
      <c r="G611" s="105">
        <v>1.9599999999999999E-2</v>
      </c>
      <c r="H611" s="106">
        <v>138.41999999999999</v>
      </c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6">
        <v>1.9599999999999999E-2</v>
      </c>
      <c r="U611" s="106">
        <v>138.41999999999999</v>
      </c>
    </row>
    <row r="612" spans="1:21" s="56" customFormat="1" ht="76.5" x14ac:dyDescent="0.2">
      <c r="A612" s="100">
        <v>217</v>
      </c>
      <c r="B612" s="101" t="s">
        <v>605</v>
      </c>
      <c r="C612" s="102" t="s">
        <v>606</v>
      </c>
      <c r="D612" s="103" t="s">
        <v>261</v>
      </c>
      <c r="E612" s="104" t="s">
        <v>310</v>
      </c>
      <c r="F612" s="105">
        <v>0.39</v>
      </c>
      <c r="G612" s="108">
        <v>4</v>
      </c>
      <c r="H612" s="106">
        <v>1.56</v>
      </c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6">
        <v>4</v>
      </c>
      <c r="U612" s="106">
        <v>1.56</v>
      </c>
    </row>
    <row r="613" spans="1:21" s="56" customFormat="1" ht="76.5" x14ac:dyDescent="0.2">
      <c r="A613" s="100">
        <v>218</v>
      </c>
      <c r="B613" s="101" t="s">
        <v>607</v>
      </c>
      <c r="C613" s="102" t="s">
        <v>608</v>
      </c>
      <c r="D613" s="103" t="s">
        <v>261</v>
      </c>
      <c r="E613" s="104" t="s">
        <v>590</v>
      </c>
      <c r="F613" s="105">
        <v>664.37</v>
      </c>
      <c r="G613" s="108">
        <v>40</v>
      </c>
      <c r="H613" s="106">
        <v>26574.799999999999</v>
      </c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6">
        <v>40</v>
      </c>
      <c r="U613" s="106">
        <v>26574.799999999999</v>
      </c>
    </row>
    <row r="614" spans="1:21" s="56" customFormat="1" ht="19.149999999999999" customHeight="1" x14ac:dyDescent="0.2">
      <c r="A614" s="98" t="s">
        <v>498</v>
      </c>
      <c r="B614" s="99"/>
      <c r="C614" s="99"/>
      <c r="D614" s="99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</row>
    <row r="615" spans="1:21" s="56" customFormat="1" ht="38.25" x14ac:dyDescent="0.2">
      <c r="A615" s="100">
        <v>219</v>
      </c>
      <c r="B615" s="101" t="s">
        <v>609</v>
      </c>
      <c r="C615" s="102" t="s">
        <v>610</v>
      </c>
      <c r="D615" s="103" t="s">
        <v>611</v>
      </c>
      <c r="E615" s="104" t="s">
        <v>388</v>
      </c>
      <c r="F615" s="105">
        <v>28.31</v>
      </c>
      <c r="G615" s="108">
        <v>23</v>
      </c>
      <c r="H615" s="106">
        <v>651.13</v>
      </c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6">
        <v>23</v>
      </c>
      <c r="U615" s="106">
        <v>651.13</v>
      </c>
    </row>
    <row r="616" spans="1:21" s="56" customFormat="1" ht="38.25" x14ac:dyDescent="0.2">
      <c r="A616" s="100">
        <v>220</v>
      </c>
      <c r="B616" s="101" t="s">
        <v>612</v>
      </c>
      <c r="C616" s="102" t="s">
        <v>386</v>
      </c>
      <c r="D616" s="103" t="s">
        <v>387</v>
      </c>
      <c r="E616" s="104" t="s">
        <v>388</v>
      </c>
      <c r="F616" s="105">
        <v>28.31</v>
      </c>
      <c r="G616" s="108">
        <v>12</v>
      </c>
      <c r="H616" s="106">
        <v>339.72</v>
      </c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6">
        <v>12</v>
      </c>
      <c r="U616" s="106">
        <v>339.72</v>
      </c>
    </row>
    <row r="617" spans="1:21" s="56" customFormat="1" ht="38.25" x14ac:dyDescent="0.2">
      <c r="A617" s="100">
        <v>221</v>
      </c>
      <c r="B617" s="101" t="s">
        <v>613</v>
      </c>
      <c r="C617" s="102" t="s">
        <v>614</v>
      </c>
      <c r="D617" s="103" t="s">
        <v>615</v>
      </c>
      <c r="E617" s="104" t="s">
        <v>388</v>
      </c>
      <c r="F617" s="105">
        <v>143.35</v>
      </c>
      <c r="G617" s="108">
        <v>6</v>
      </c>
      <c r="H617" s="106">
        <v>860.1</v>
      </c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6">
        <v>6</v>
      </c>
      <c r="U617" s="106">
        <v>860.1</v>
      </c>
    </row>
    <row r="618" spans="1:21" s="56" customFormat="1" ht="38.25" x14ac:dyDescent="0.2">
      <c r="A618" s="100">
        <v>222</v>
      </c>
      <c r="B618" s="101" t="s">
        <v>616</v>
      </c>
      <c r="C618" s="102" t="s">
        <v>416</v>
      </c>
      <c r="D618" s="103" t="s">
        <v>417</v>
      </c>
      <c r="E618" s="104" t="s">
        <v>388</v>
      </c>
      <c r="F618" s="105">
        <v>155.53</v>
      </c>
      <c r="G618" s="108">
        <v>6</v>
      </c>
      <c r="H618" s="106">
        <v>933.18</v>
      </c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6">
        <v>6</v>
      </c>
      <c r="U618" s="106">
        <v>933.18</v>
      </c>
    </row>
    <row r="619" spans="1:21" s="56" customFormat="1" ht="76.5" x14ac:dyDescent="0.2">
      <c r="A619" s="100">
        <v>223</v>
      </c>
      <c r="B619" s="101" t="s">
        <v>617</v>
      </c>
      <c r="C619" s="102" t="s">
        <v>587</v>
      </c>
      <c r="D619" s="103" t="s">
        <v>261</v>
      </c>
      <c r="E619" s="104" t="s">
        <v>388</v>
      </c>
      <c r="F619" s="105">
        <v>18.989999999999998</v>
      </c>
      <c r="G619" s="108">
        <v>12</v>
      </c>
      <c r="H619" s="106">
        <v>227.88</v>
      </c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6">
        <v>12</v>
      </c>
      <c r="U619" s="106">
        <v>227.88</v>
      </c>
    </row>
    <row r="620" spans="1:21" s="56" customFormat="1" ht="76.5" x14ac:dyDescent="0.2">
      <c r="A620" s="100">
        <v>224</v>
      </c>
      <c r="B620" s="101" t="s">
        <v>618</v>
      </c>
      <c r="C620" s="102" t="s">
        <v>619</v>
      </c>
      <c r="D620" s="103" t="s">
        <v>261</v>
      </c>
      <c r="E620" s="104" t="s">
        <v>388</v>
      </c>
      <c r="F620" s="105">
        <v>172.99</v>
      </c>
      <c r="G620" s="108">
        <v>15</v>
      </c>
      <c r="H620" s="106">
        <v>2594.85</v>
      </c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6">
        <v>15</v>
      </c>
      <c r="U620" s="106">
        <v>2594.85</v>
      </c>
    </row>
    <row r="621" spans="1:21" s="56" customFormat="1" ht="76.5" x14ac:dyDescent="0.2">
      <c r="A621" s="100">
        <v>225</v>
      </c>
      <c r="B621" s="101" t="s">
        <v>620</v>
      </c>
      <c r="C621" s="102" t="s">
        <v>423</v>
      </c>
      <c r="D621" s="103" t="s">
        <v>261</v>
      </c>
      <c r="E621" s="104" t="s">
        <v>388</v>
      </c>
      <c r="F621" s="105">
        <v>170.94</v>
      </c>
      <c r="G621" s="108">
        <v>9</v>
      </c>
      <c r="H621" s="106">
        <v>1538.46</v>
      </c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6">
        <v>9</v>
      </c>
      <c r="U621" s="106">
        <v>1538.46</v>
      </c>
    </row>
    <row r="622" spans="1:21" s="56" customFormat="1" ht="19.149999999999999" customHeight="1" x14ac:dyDescent="0.2">
      <c r="A622" s="98" t="s">
        <v>487</v>
      </c>
      <c r="B622" s="99"/>
      <c r="C622" s="99"/>
      <c r="D622" s="99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</row>
    <row r="623" spans="1:21" s="56" customFormat="1" ht="76.5" x14ac:dyDescent="0.2">
      <c r="A623" s="100">
        <v>226</v>
      </c>
      <c r="B623" s="101" t="s">
        <v>621</v>
      </c>
      <c r="C623" s="102" t="s">
        <v>622</v>
      </c>
      <c r="D623" s="103" t="s">
        <v>261</v>
      </c>
      <c r="E623" s="104" t="s">
        <v>590</v>
      </c>
      <c r="F623" s="105">
        <v>26.15</v>
      </c>
      <c r="G623" s="108">
        <v>600</v>
      </c>
      <c r="H623" s="106">
        <v>15690</v>
      </c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6">
        <v>600</v>
      </c>
      <c r="U623" s="106">
        <v>15690</v>
      </c>
    </row>
    <row r="624" spans="1:21" s="56" customFormat="1" ht="76.5" x14ac:dyDescent="0.2">
      <c r="A624" s="100">
        <v>227</v>
      </c>
      <c r="B624" s="101" t="s">
        <v>623</v>
      </c>
      <c r="C624" s="102" t="s">
        <v>624</v>
      </c>
      <c r="D624" s="103" t="s">
        <v>261</v>
      </c>
      <c r="E624" s="104" t="s">
        <v>388</v>
      </c>
      <c r="F624" s="105">
        <v>940.17</v>
      </c>
      <c r="G624" s="108">
        <v>54</v>
      </c>
      <c r="H624" s="106">
        <v>50769.18</v>
      </c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6">
        <v>54</v>
      </c>
      <c r="U624" s="106">
        <v>50769.18</v>
      </c>
    </row>
    <row r="625" spans="1:21" s="56" customFormat="1" ht="38.25" x14ac:dyDescent="0.2">
      <c r="A625" s="100">
        <v>228</v>
      </c>
      <c r="B625" s="101" t="s">
        <v>625</v>
      </c>
      <c r="C625" s="102" t="s">
        <v>610</v>
      </c>
      <c r="D625" s="103" t="s">
        <v>611</v>
      </c>
      <c r="E625" s="104" t="s">
        <v>388</v>
      </c>
      <c r="F625" s="105">
        <v>28.31</v>
      </c>
      <c r="G625" s="108">
        <v>18</v>
      </c>
      <c r="H625" s="106">
        <v>509.58</v>
      </c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6">
        <v>18</v>
      </c>
      <c r="U625" s="106">
        <v>509.58</v>
      </c>
    </row>
    <row r="626" spans="1:21" s="56" customFormat="1" ht="38.25" x14ac:dyDescent="0.2">
      <c r="A626" s="100">
        <v>229</v>
      </c>
      <c r="B626" s="101" t="s">
        <v>626</v>
      </c>
      <c r="C626" s="102" t="s">
        <v>386</v>
      </c>
      <c r="D626" s="103" t="s">
        <v>387</v>
      </c>
      <c r="E626" s="104" t="s">
        <v>388</v>
      </c>
      <c r="F626" s="105">
        <v>28.31</v>
      </c>
      <c r="G626" s="108">
        <v>6</v>
      </c>
      <c r="H626" s="106">
        <v>169.86</v>
      </c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6">
        <v>6</v>
      </c>
      <c r="U626" s="106">
        <v>169.86</v>
      </c>
    </row>
    <row r="627" spans="1:21" s="56" customFormat="1" ht="38.25" x14ac:dyDescent="0.2">
      <c r="A627" s="100">
        <v>230</v>
      </c>
      <c r="B627" s="101" t="s">
        <v>627</v>
      </c>
      <c r="C627" s="102" t="s">
        <v>614</v>
      </c>
      <c r="D627" s="103" t="s">
        <v>615</v>
      </c>
      <c r="E627" s="104" t="s">
        <v>388</v>
      </c>
      <c r="F627" s="105">
        <v>143.35</v>
      </c>
      <c r="G627" s="108">
        <v>6</v>
      </c>
      <c r="H627" s="106">
        <v>860.1</v>
      </c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6">
        <v>6</v>
      </c>
      <c r="U627" s="106">
        <v>860.1</v>
      </c>
    </row>
    <row r="628" spans="1:21" s="56" customFormat="1" ht="76.5" x14ac:dyDescent="0.2">
      <c r="A628" s="100">
        <v>231</v>
      </c>
      <c r="B628" s="101" t="s">
        <v>628</v>
      </c>
      <c r="C628" s="102" t="s">
        <v>629</v>
      </c>
      <c r="D628" s="103" t="s">
        <v>261</v>
      </c>
      <c r="E628" s="104" t="s">
        <v>388</v>
      </c>
      <c r="F628" s="105">
        <v>109.57</v>
      </c>
      <c r="G628" s="108">
        <v>6</v>
      </c>
      <c r="H628" s="106">
        <v>657.42</v>
      </c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6">
        <v>6</v>
      </c>
      <c r="U628" s="106">
        <v>657.42</v>
      </c>
    </row>
    <row r="629" spans="1:21" s="56" customFormat="1" ht="76.5" x14ac:dyDescent="0.2">
      <c r="A629" s="100">
        <v>232</v>
      </c>
      <c r="B629" s="101" t="s">
        <v>630</v>
      </c>
      <c r="C629" s="102" t="s">
        <v>631</v>
      </c>
      <c r="D629" s="103" t="s">
        <v>261</v>
      </c>
      <c r="E629" s="104" t="s">
        <v>388</v>
      </c>
      <c r="F629" s="105">
        <v>167.52</v>
      </c>
      <c r="G629" s="108">
        <v>6</v>
      </c>
      <c r="H629" s="106">
        <v>1005.12</v>
      </c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6">
        <v>6</v>
      </c>
      <c r="U629" s="106">
        <v>1005.12</v>
      </c>
    </row>
    <row r="630" spans="1:21" s="56" customFormat="1" ht="76.5" x14ac:dyDescent="0.2">
      <c r="A630" s="100">
        <v>233</v>
      </c>
      <c r="B630" s="101" t="s">
        <v>632</v>
      </c>
      <c r="C630" s="102" t="s">
        <v>423</v>
      </c>
      <c r="D630" s="103" t="s">
        <v>261</v>
      </c>
      <c r="E630" s="104" t="s">
        <v>388</v>
      </c>
      <c r="F630" s="105">
        <v>170.94</v>
      </c>
      <c r="G630" s="108">
        <v>6</v>
      </c>
      <c r="H630" s="106">
        <v>1025.6400000000001</v>
      </c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6">
        <v>6</v>
      </c>
      <c r="U630" s="106">
        <v>1025.6400000000001</v>
      </c>
    </row>
    <row r="631" spans="1:21" s="56" customFormat="1" x14ac:dyDescent="0.2">
      <c r="A631" s="109" t="s">
        <v>75</v>
      </c>
      <c r="B631" s="110"/>
      <c r="C631" s="110"/>
      <c r="D631" s="110"/>
      <c r="E631" s="104"/>
      <c r="F631" s="105"/>
      <c r="G631" s="105"/>
      <c r="H631" s="126">
        <f>177714.61*5.8108</f>
        <v>1032664.055788</v>
      </c>
      <c r="I631" s="127"/>
      <c r="J631" s="126"/>
      <c r="K631" s="126"/>
      <c r="L631" s="127"/>
      <c r="M631" s="126"/>
      <c r="N631" s="126"/>
      <c r="O631" s="127"/>
      <c r="P631" s="126"/>
      <c r="Q631" s="126"/>
      <c r="R631" s="127"/>
      <c r="S631" s="126"/>
      <c r="T631" s="127"/>
      <c r="U631" s="126">
        <f>177714.61*5.8108</f>
        <v>1032664.055788</v>
      </c>
    </row>
    <row r="632" spans="1:21" s="56" customFormat="1" outlineLevel="1" x14ac:dyDescent="0.2">
      <c r="A632" s="111" t="s">
        <v>76</v>
      </c>
      <c r="B632" s="110"/>
      <c r="C632" s="110"/>
      <c r="D632" s="110"/>
      <c r="E632" s="104"/>
      <c r="F632" s="105"/>
      <c r="G632" s="105"/>
      <c r="H632" s="126">
        <f>177714.61*5.8108</f>
        <v>1032664.055788</v>
      </c>
      <c r="I632" s="127"/>
      <c r="J632" s="126"/>
      <c r="K632" s="126"/>
      <c r="L632" s="127"/>
      <c r="M632" s="126"/>
      <c r="N632" s="126"/>
      <c r="O632" s="127"/>
      <c r="P632" s="126"/>
      <c r="Q632" s="126"/>
      <c r="R632" s="127"/>
      <c r="S632" s="126"/>
      <c r="T632" s="127"/>
      <c r="U632" s="126">
        <f>177714.61*5.8108</f>
        <v>1032664.055788</v>
      </c>
    </row>
    <row r="633" spans="1:21" s="56" customFormat="1" outlineLevel="1" x14ac:dyDescent="0.2">
      <c r="A633" s="111" t="s">
        <v>77</v>
      </c>
      <c r="B633" s="110"/>
      <c r="C633" s="110"/>
      <c r="D633" s="110"/>
      <c r="E633" s="104"/>
      <c r="F633" s="105"/>
      <c r="G633" s="105"/>
      <c r="H633" s="126"/>
      <c r="I633" s="127"/>
      <c r="J633" s="126"/>
      <c r="K633" s="126"/>
      <c r="L633" s="127"/>
      <c r="M633" s="126"/>
      <c r="N633" s="126"/>
      <c r="O633" s="127"/>
      <c r="P633" s="126"/>
      <c r="Q633" s="126"/>
      <c r="R633" s="127"/>
      <c r="S633" s="126"/>
      <c r="T633" s="127"/>
      <c r="U633" s="126"/>
    </row>
    <row r="634" spans="1:21" s="56" customFormat="1" outlineLevel="1" x14ac:dyDescent="0.2">
      <c r="A634" s="111" t="s">
        <v>78</v>
      </c>
      <c r="B634" s="110"/>
      <c r="C634" s="110"/>
      <c r="D634" s="110"/>
      <c r="E634" s="104"/>
      <c r="F634" s="105"/>
      <c r="G634" s="105"/>
      <c r="H634" s="126"/>
      <c r="I634" s="127"/>
      <c r="J634" s="126"/>
      <c r="K634" s="126"/>
      <c r="L634" s="127"/>
      <c r="M634" s="126"/>
      <c r="N634" s="126"/>
      <c r="O634" s="127"/>
      <c r="P634" s="126"/>
      <c r="Q634" s="126"/>
      <c r="R634" s="127"/>
      <c r="S634" s="126"/>
      <c r="T634" s="127"/>
      <c r="U634" s="126"/>
    </row>
    <row r="635" spans="1:21" s="56" customFormat="1" x14ac:dyDescent="0.2">
      <c r="A635" s="109" t="s">
        <v>79</v>
      </c>
      <c r="B635" s="110"/>
      <c r="C635" s="110"/>
      <c r="D635" s="110"/>
      <c r="E635" s="104"/>
      <c r="F635" s="105"/>
      <c r="G635" s="105"/>
      <c r="H635" s="126"/>
      <c r="I635" s="127"/>
      <c r="J635" s="126"/>
      <c r="K635" s="126"/>
      <c r="L635" s="127"/>
      <c r="M635" s="126"/>
      <c r="N635" s="126"/>
      <c r="O635" s="127"/>
      <c r="P635" s="126"/>
      <c r="Q635" s="126"/>
      <c r="R635" s="127"/>
      <c r="S635" s="126"/>
      <c r="T635" s="127"/>
      <c r="U635" s="126"/>
    </row>
    <row r="636" spans="1:21" s="56" customFormat="1" x14ac:dyDescent="0.2">
      <c r="A636" s="109" t="s">
        <v>80</v>
      </c>
      <c r="B636" s="110"/>
      <c r="C636" s="110"/>
      <c r="D636" s="110"/>
      <c r="E636" s="104"/>
      <c r="F636" s="105"/>
      <c r="G636" s="105"/>
      <c r="H636" s="126"/>
      <c r="I636" s="127"/>
      <c r="J636" s="126"/>
      <c r="K636" s="126"/>
      <c r="L636" s="127"/>
      <c r="M636" s="126"/>
      <c r="N636" s="126"/>
      <c r="O636" s="127"/>
      <c r="P636" s="126"/>
      <c r="Q636" s="126"/>
      <c r="R636" s="127"/>
      <c r="S636" s="126"/>
      <c r="T636" s="127"/>
      <c r="U636" s="126"/>
    </row>
    <row r="637" spans="1:21" s="56" customFormat="1" x14ac:dyDescent="0.2">
      <c r="A637" s="109" t="s">
        <v>81</v>
      </c>
      <c r="B637" s="110"/>
      <c r="C637" s="110"/>
      <c r="D637" s="110"/>
      <c r="E637" s="104"/>
      <c r="F637" s="105"/>
      <c r="G637" s="105"/>
      <c r="H637" s="126">
        <f>177714.61*5.8108</f>
        <v>1032664.055788</v>
      </c>
      <c r="I637" s="127"/>
      <c r="J637" s="126"/>
      <c r="K637" s="126"/>
      <c r="L637" s="127"/>
      <c r="M637" s="126"/>
      <c r="N637" s="126"/>
      <c r="O637" s="127"/>
      <c r="P637" s="126"/>
      <c r="Q637" s="126"/>
      <c r="R637" s="127"/>
      <c r="S637" s="126"/>
      <c r="T637" s="127"/>
      <c r="U637" s="126">
        <f>177714.61*5.8108</f>
        <v>1032664.055788</v>
      </c>
    </row>
    <row r="638" spans="1:21" s="56" customFormat="1" x14ac:dyDescent="0.2">
      <c r="A638" s="109" t="s">
        <v>82</v>
      </c>
      <c r="B638" s="110"/>
      <c r="C638" s="110"/>
      <c r="D638" s="110"/>
      <c r="E638" s="104"/>
      <c r="F638" s="105"/>
      <c r="G638" s="105"/>
      <c r="H638" s="128">
        <f>177714.61*5.8108</f>
        <v>1032664.055788</v>
      </c>
      <c r="I638" s="127"/>
      <c r="J638" s="128"/>
      <c r="K638" s="128"/>
      <c r="L638" s="127"/>
      <c r="M638" s="128"/>
      <c r="N638" s="128"/>
      <c r="O638" s="127"/>
      <c r="P638" s="128"/>
      <c r="Q638" s="128"/>
      <c r="R638" s="127"/>
      <c r="S638" s="128"/>
      <c r="T638" s="127"/>
      <c r="U638" s="128">
        <f>177714.61*5.8108</f>
        <v>1032664.055788</v>
      </c>
    </row>
    <row r="639" spans="1:21" s="56" customFormat="1" ht="22.5" customHeight="1" x14ac:dyDescent="0.2">
      <c r="A639" s="96" t="s">
        <v>633</v>
      </c>
      <c r="B639" s="97"/>
      <c r="C639" s="97"/>
      <c r="D639" s="97"/>
      <c r="E639" s="9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</row>
    <row r="640" spans="1:21" s="56" customFormat="1" ht="19.149999999999999" customHeight="1" x14ac:dyDescent="0.2">
      <c r="A640" s="98" t="s">
        <v>154</v>
      </c>
      <c r="B640" s="99"/>
      <c r="C640" s="99"/>
      <c r="D640" s="99"/>
      <c r="E640" s="99"/>
      <c r="F640" s="99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</row>
    <row r="641" spans="1:21" s="56" customFormat="1" ht="51" x14ac:dyDescent="0.2">
      <c r="A641" s="100">
        <v>234</v>
      </c>
      <c r="B641" s="101" t="s">
        <v>634</v>
      </c>
      <c r="C641" s="102" t="s">
        <v>635</v>
      </c>
      <c r="D641" s="103" t="s">
        <v>54</v>
      </c>
      <c r="E641" s="104" t="s">
        <v>55</v>
      </c>
      <c r="F641" s="105">
        <v>1740.55</v>
      </c>
      <c r="G641" s="105">
        <v>4.8</v>
      </c>
      <c r="H641" s="106">
        <v>8354.64</v>
      </c>
      <c r="I641" s="107"/>
      <c r="J641" s="107"/>
      <c r="K641" s="107"/>
      <c r="L641" s="106">
        <v>4.8</v>
      </c>
      <c r="M641" s="106">
        <v>8354.64</v>
      </c>
      <c r="N641" s="106">
        <v>8354.64</v>
      </c>
      <c r="O641" s="107"/>
      <c r="P641" s="107"/>
      <c r="Q641" s="107"/>
      <c r="R641" s="106">
        <v>4.8</v>
      </c>
      <c r="S641" s="106">
        <v>8354.64</v>
      </c>
      <c r="T641" s="107"/>
      <c r="U641" s="107"/>
    </row>
    <row r="642" spans="1:21" s="56" customFormat="1" ht="38.25" x14ac:dyDescent="0.2">
      <c r="A642" s="100">
        <v>235</v>
      </c>
      <c r="B642" s="101" t="s">
        <v>636</v>
      </c>
      <c r="C642" s="102" t="s">
        <v>158</v>
      </c>
      <c r="D642" s="103" t="s">
        <v>188</v>
      </c>
      <c r="E642" s="104" t="s">
        <v>88</v>
      </c>
      <c r="F642" s="105">
        <v>164.69</v>
      </c>
      <c r="G642" s="105">
        <v>72</v>
      </c>
      <c r="H642" s="106">
        <v>11857.68</v>
      </c>
      <c r="I642" s="107"/>
      <c r="J642" s="107"/>
      <c r="K642" s="107"/>
      <c r="L642" s="106">
        <v>72</v>
      </c>
      <c r="M642" s="106">
        <v>11857.68</v>
      </c>
      <c r="N642" s="106">
        <v>11857.68</v>
      </c>
      <c r="O642" s="107"/>
      <c r="P642" s="107"/>
      <c r="Q642" s="107"/>
      <c r="R642" s="106">
        <v>72</v>
      </c>
      <c r="S642" s="106">
        <v>11857.68</v>
      </c>
      <c r="T642" s="107"/>
      <c r="U642" s="107"/>
    </row>
    <row r="643" spans="1:21" s="56" customFormat="1" ht="19.149999999999999" customHeight="1" x14ac:dyDescent="0.2">
      <c r="A643" s="98" t="s">
        <v>160</v>
      </c>
      <c r="B643" s="99"/>
      <c r="C643" s="99"/>
      <c r="D643" s="99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</row>
    <row r="644" spans="1:21" s="56" customFormat="1" ht="51" x14ac:dyDescent="0.2">
      <c r="A644" s="100">
        <v>236</v>
      </c>
      <c r="B644" s="101" t="s">
        <v>637</v>
      </c>
      <c r="C644" s="102" t="s">
        <v>638</v>
      </c>
      <c r="D644" s="103" t="s">
        <v>54</v>
      </c>
      <c r="E644" s="104" t="s">
        <v>55</v>
      </c>
      <c r="F644" s="105">
        <v>1740.55</v>
      </c>
      <c r="G644" s="105">
        <v>4.5</v>
      </c>
      <c r="H644" s="106">
        <v>7832.48</v>
      </c>
      <c r="I644" s="107"/>
      <c r="J644" s="107"/>
      <c r="K644" s="107"/>
      <c r="L644" s="106">
        <v>4.5</v>
      </c>
      <c r="M644" s="106">
        <v>7832.48</v>
      </c>
      <c r="N644" s="106">
        <v>7832.48</v>
      </c>
      <c r="O644" s="107"/>
      <c r="P644" s="107"/>
      <c r="Q644" s="107"/>
      <c r="R644" s="106">
        <v>4.5</v>
      </c>
      <c r="S644" s="106">
        <v>7832.48</v>
      </c>
      <c r="T644" s="107"/>
      <c r="U644" s="107"/>
    </row>
    <row r="645" spans="1:21" s="56" customFormat="1" ht="38.25" x14ac:dyDescent="0.2">
      <c r="A645" s="100">
        <v>237</v>
      </c>
      <c r="B645" s="101" t="s">
        <v>639</v>
      </c>
      <c r="C645" s="102" t="s">
        <v>164</v>
      </c>
      <c r="D645" s="103" t="s">
        <v>188</v>
      </c>
      <c r="E645" s="104" t="s">
        <v>88</v>
      </c>
      <c r="F645" s="105">
        <v>164.69</v>
      </c>
      <c r="G645" s="108">
        <v>30</v>
      </c>
      <c r="H645" s="106">
        <v>4940.7</v>
      </c>
      <c r="I645" s="107"/>
      <c r="J645" s="107"/>
      <c r="K645" s="107"/>
      <c r="L645" s="106">
        <v>30</v>
      </c>
      <c r="M645" s="106">
        <v>4940.7</v>
      </c>
      <c r="N645" s="106">
        <v>4940.7</v>
      </c>
      <c r="O645" s="107"/>
      <c r="P645" s="107"/>
      <c r="Q645" s="107"/>
      <c r="R645" s="106">
        <v>30</v>
      </c>
      <c r="S645" s="106">
        <v>4940.7</v>
      </c>
      <c r="T645" s="107"/>
      <c r="U645" s="107"/>
    </row>
    <row r="646" spans="1:21" s="56" customFormat="1" x14ac:dyDescent="0.2">
      <c r="A646" s="109" t="s">
        <v>75</v>
      </c>
      <c r="B646" s="110"/>
      <c r="C646" s="110"/>
      <c r="D646" s="110"/>
      <c r="E646" s="104"/>
      <c r="F646" s="105"/>
      <c r="G646" s="105"/>
      <c r="H646" s="106">
        <f>40769.17*5.8108</f>
        <v>236901.493036</v>
      </c>
      <c r="I646" s="107"/>
      <c r="J646" s="106"/>
      <c r="K646" s="106"/>
      <c r="L646" s="107"/>
      <c r="M646" s="106">
        <f>H646</f>
        <v>236901.493036</v>
      </c>
      <c r="N646" s="106">
        <f>M646</f>
        <v>236901.493036</v>
      </c>
      <c r="O646" s="107"/>
      <c r="P646" s="106"/>
      <c r="Q646" s="106">
        <f>N646</f>
        <v>236901.493036</v>
      </c>
      <c r="R646" s="107"/>
      <c r="S646" s="106">
        <f>Q646</f>
        <v>236901.493036</v>
      </c>
      <c r="T646" s="107"/>
      <c r="U646" s="106"/>
    </row>
    <row r="647" spans="1:21" s="56" customFormat="1" outlineLevel="1" x14ac:dyDescent="0.2">
      <c r="A647" s="111" t="s">
        <v>76</v>
      </c>
      <c r="B647" s="110"/>
      <c r="C647" s="110"/>
      <c r="D647" s="110"/>
      <c r="E647" s="104"/>
      <c r="F647" s="105"/>
      <c r="G647" s="105"/>
      <c r="H647" s="106">
        <f>12502.18*5.8108</f>
        <v>72647.667544000011</v>
      </c>
      <c r="I647" s="107"/>
      <c r="J647" s="106"/>
      <c r="K647" s="106"/>
      <c r="L647" s="107"/>
      <c r="M647" s="106">
        <f t="shared" ref="M647:M653" si="14">H647</f>
        <v>72647.667544000011</v>
      </c>
      <c r="N647" s="106">
        <f t="shared" ref="N647:N653" si="15">M647</f>
        <v>72647.667544000011</v>
      </c>
      <c r="O647" s="107"/>
      <c r="P647" s="106"/>
      <c r="Q647" s="106">
        <f t="shared" ref="Q647:Q653" si="16">N647</f>
        <v>72647.667544000011</v>
      </c>
      <c r="R647" s="107"/>
      <c r="S647" s="106">
        <f t="shared" ref="S647:S653" si="17">Q647</f>
        <v>72647.667544000011</v>
      </c>
      <c r="T647" s="107"/>
      <c r="U647" s="106"/>
    </row>
    <row r="648" spans="1:21" s="56" customFormat="1" outlineLevel="1" x14ac:dyDescent="0.2">
      <c r="A648" s="111" t="s">
        <v>77</v>
      </c>
      <c r="B648" s="110"/>
      <c r="C648" s="110"/>
      <c r="D648" s="110"/>
      <c r="E648" s="104"/>
      <c r="F648" s="105"/>
      <c r="G648" s="105"/>
      <c r="H648" s="106">
        <f>17671.19*5.8108</f>
        <v>102683.750852</v>
      </c>
      <c r="I648" s="107"/>
      <c r="J648" s="106"/>
      <c r="K648" s="106"/>
      <c r="L648" s="107"/>
      <c r="M648" s="106">
        <f t="shared" si="14"/>
        <v>102683.750852</v>
      </c>
      <c r="N648" s="106">
        <f t="shared" si="15"/>
        <v>102683.750852</v>
      </c>
      <c r="O648" s="107"/>
      <c r="P648" s="106"/>
      <c r="Q648" s="106">
        <f t="shared" si="16"/>
        <v>102683.750852</v>
      </c>
      <c r="R648" s="107"/>
      <c r="S648" s="106">
        <f t="shared" si="17"/>
        <v>102683.750852</v>
      </c>
      <c r="T648" s="107"/>
      <c r="U648" s="106"/>
    </row>
    <row r="649" spans="1:21" s="56" customFormat="1" outlineLevel="1" x14ac:dyDescent="0.2">
      <c r="A649" s="111" t="s">
        <v>78</v>
      </c>
      <c r="B649" s="110"/>
      <c r="C649" s="110"/>
      <c r="D649" s="110"/>
      <c r="E649" s="104"/>
      <c r="F649" s="105"/>
      <c r="G649" s="105"/>
      <c r="H649" s="106">
        <f>11829.08*5.8108</f>
        <v>68736.418063999998</v>
      </c>
      <c r="I649" s="107"/>
      <c r="J649" s="106"/>
      <c r="K649" s="106"/>
      <c r="L649" s="107"/>
      <c r="M649" s="106">
        <f t="shared" si="14"/>
        <v>68736.418063999998</v>
      </c>
      <c r="N649" s="106">
        <f t="shared" si="15"/>
        <v>68736.418063999998</v>
      </c>
      <c r="O649" s="107"/>
      <c r="P649" s="106"/>
      <c r="Q649" s="106">
        <f t="shared" si="16"/>
        <v>68736.418063999998</v>
      </c>
      <c r="R649" s="107"/>
      <c r="S649" s="106">
        <f t="shared" si="17"/>
        <v>68736.418063999998</v>
      </c>
      <c r="T649" s="107"/>
      <c r="U649" s="106"/>
    </row>
    <row r="650" spans="1:21" s="56" customFormat="1" x14ac:dyDescent="0.2">
      <c r="A650" s="109" t="s">
        <v>79</v>
      </c>
      <c r="B650" s="110"/>
      <c r="C650" s="110"/>
      <c r="D650" s="110"/>
      <c r="E650" s="104"/>
      <c r="F650" s="105"/>
      <c r="G650" s="105"/>
      <c r="H650" s="106">
        <f>11237.63*5.8108</f>
        <v>65299.620404000001</v>
      </c>
      <c r="I650" s="107"/>
      <c r="J650" s="106"/>
      <c r="K650" s="106"/>
      <c r="L650" s="107"/>
      <c r="M650" s="106">
        <f t="shared" si="14"/>
        <v>65299.620404000001</v>
      </c>
      <c r="N650" s="106">
        <f t="shared" si="15"/>
        <v>65299.620404000001</v>
      </c>
      <c r="O650" s="107"/>
      <c r="P650" s="106"/>
      <c r="Q650" s="106">
        <f t="shared" si="16"/>
        <v>65299.620404000001</v>
      </c>
      <c r="R650" s="107"/>
      <c r="S650" s="106">
        <f t="shared" si="17"/>
        <v>65299.620404000001</v>
      </c>
      <c r="T650" s="107"/>
      <c r="U650" s="106"/>
    </row>
    <row r="651" spans="1:21" s="56" customFormat="1" x14ac:dyDescent="0.2">
      <c r="A651" s="109" t="s">
        <v>80</v>
      </c>
      <c r="B651" s="110"/>
      <c r="C651" s="110"/>
      <c r="D651" s="110"/>
      <c r="E651" s="104"/>
      <c r="F651" s="105"/>
      <c r="G651" s="105"/>
      <c r="H651" s="106">
        <f>7688.9*5.8108</f>
        <v>44678.66012</v>
      </c>
      <c r="I651" s="107"/>
      <c r="J651" s="106"/>
      <c r="K651" s="106"/>
      <c r="L651" s="107"/>
      <c r="M651" s="106">
        <f t="shared" si="14"/>
        <v>44678.66012</v>
      </c>
      <c r="N651" s="106">
        <f t="shared" si="15"/>
        <v>44678.66012</v>
      </c>
      <c r="O651" s="107"/>
      <c r="P651" s="106"/>
      <c r="Q651" s="106">
        <f t="shared" si="16"/>
        <v>44678.66012</v>
      </c>
      <c r="R651" s="107"/>
      <c r="S651" s="106">
        <f t="shared" si="17"/>
        <v>44678.66012</v>
      </c>
      <c r="T651" s="107"/>
      <c r="U651" s="106"/>
    </row>
    <row r="652" spans="1:21" s="56" customFormat="1" x14ac:dyDescent="0.2">
      <c r="A652" s="109" t="s">
        <v>81</v>
      </c>
      <c r="B652" s="110"/>
      <c r="C652" s="110"/>
      <c r="D652" s="110"/>
      <c r="E652" s="104"/>
      <c r="F652" s="105"/>
      <c r="G652" s="105"/>
      <c r="H652" s="106">
        <f>59695.7*5.8108</f>
        <v>346879.77356</v>
      </c>
      <c r="I652" s="107"/>
      <c r="J652" s="106"/>
      <c r="K652" s="106"/>
      <c r="L652" s="107"/>
      <c r="M652" s="106">
        <f t="shared" si="14"/>
        <v>346879.77356</v>
      </c>
      <c r="N652" s="106">
        <f t="shared" si="15"/>
        <v>346879.77356</v>
      </c>
      <c r="O652" s="107"/>
      <c r="P652" s="106"/>
      <c r="Q652" s="106">
        <f t="shared" si="16"/>
        <v>346879.77356</v>
      </c>
      <c r="R652" s="107"/>
      <c r="S652" s="106">
        <f t="shared" si="17"/>
        <v>346879.77356</v>
      </c>
      <c r="T652" s="107"/>
      <c r="U652" s="106"/>
    </row>
    <row r="653" spans="1:21" s="56" customFormat="1" x14ac:dyDescent="0.2">
      <c r="A653" s="109" t="s">
        <v>82</v>
      </c>
      <c r="B653" s="110"/>
      <c r="C653" s="110"/>
      <c r="D653" s="110"/>
      <c r="E653" s="104"/>
      <c r="F653" s="105"/>
      <c r="G653" s="105"/>
      <c r="H653" s="112">
        <f>59695.7*5.8108</f>
        <v>346879.77356</v>
      </c>
      <c r="I653" s="107"/>
      <c r="J653" s="112"/>
      <c r="K653" s="112"/>
      <c r="L653" s="107"/>
      <c r="M653" s="112">
        <f t="shared" si="14"/>
        <v>346879.77356</v>
      </c>
      <c r="N653" s="112">
        <f t="shared" si="15"/>
        <v>346879.77356</v>
      </c>
      <c r="O653" s="107"/>
      <c r="P653" s="112"/>
      <c r="Q653" s="112">
        <f t="shared" si="16"/>
        <v>346879.77356</v>
      </c>
      <c r="R653" s="107"/>
      <c r="S653" s="112">
        <f t="shared" si="17"/>
        <v>346879.77356</v>
      </c>
      <c r="T653" s="107"/>
      <c r="U653" s="112"/>
    </row>
    <row r="654" spans="1:21" s="56" customFormat="1" x14ac:dyDescent="0.2">
      <c r="A654" s="122" t="s">
        <v>640</v>
      </c>
      <c r="B654" s="123"/>
      <c r="C654" s="123"/>
      <c r="D654" s="123"/>
      <c r="E654" s="104"/>
      <c r="F654" s="105"/>
      <c r="G654" s="105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</row>
    <row r="655" spans="1:21" s="56" customFormat="1" x14ac:dyDescent="0.2">
      <c r="A655" s="109" t="s">
        <v>75</v>
      </c>
      <c r="B655" s="110"/>
      <c r="C655" s="110"/>
      <c r="D655" s="110"/>
      <c r="E655" s="104"/>
      <c r="F655" s="105"/>
      <c r="G655" s="105"/>
      <c r="H655" s="126">
        <v>53585419.643082999</v>
      </c>
      <c r="I655" s="127"/>
      <c r="J655" s="126">
        <v>16610734.516347002</v>
      </c>
      <c r="K655" s="126">
        <v>16610734.516347002</v>
      </c>
      <c r="L655" s="127"/>
      <c r="M655" s="126">
        <v>4790487.3769120006</v>
      </c>
      <c r="N655" s="126">
        <v>21401221.893259</v>
      </c>
      <c r="O655" s="127"/>
      <c r="P655" s="126">
        <v>15888620.379240001</v>
      </c>
      <c r="Q655" s="126">
        <v>37289842.272499003</v>
      </c>
      <c r="R655" s="127"/>
      <c r="S655" s="126">
        <v>37289842.272499003</v>
      </c>
      <c r="T655" s="127"/>
      <c r="U655" s="126">
        <v>16295577.370584002</v>
      </c>
    </row>
    <row r="656" spans="1:21" s="56" customFormat="1" outlineLevel="1" x14ac:dyDescent="0.2">
      <c r="A656" s="111" t="s">
        <v>76</v>
      </c>
      <c r="B656" s="110"/>
      <c r="C656" s="110"/>
      <c r="D656" s="110"/>
      <c r="E656" s="104"/>
      <c r="F656" s="105"/>
      <c r="G656" s="105"/>
      <c r="H656" s="126">
        <f>434821.94*5.8108</f>
        <v>2526663.328952</v>
      </c>
      <c r="I656" s="127"/>
      <c r="J656" s="126">
        <f>19500.92*5.8108</f>
        <v>113315.945936</v>
      </c>
      <c r="K656" s="126">
        <f>19500.92*5.8108</f>
        <v>113315.945936</v>
      </c>
      <c r="L656" s="127"/>
      <c r="M656" s="126">
        <f>12502.18*5.8108</f>
        <v>72647.667544000011</v>
      </c>
      <c r="N656" s="126">
        <f>32003.1*5.8108</f>
        <v>185963.61348</v>
      </c>
      <c r="O656" s="127"/>
      <c r="P656" s="126">
        <f>23134.83*5.8108</f>
        <v>134431.87016400002</v>
      </c>
      <c r="Q656" s="126">
        <f>55137.93*5.8108</f>
        <v>320395.48364400002</v>
      </c>
      <c r="R656" s="127"/>
      <c r="S656" s="126">
        <f>55137.93*5.8108</f>
        <v>320395.48364400002</v>
      </c>
      <c r="T656" s="127"/>
      <c r="U656" s="126">
        <f>379684.01*5.8108</f>
        <v>2206267.8453080002</v>
      </c>
    </row>
    <row r="657" spans="1:21" s="56" customFormat="1" outlineLevel="1" x14ac:dyDescent="0.2">
      <c r="A657" s="111" t="s">
        <v>77</v>
      </c>
      <c r="B657" s="110"/>
      <c r="C657" s="110"/>
      <c r="D657" s="110"/>
      <c r="E657" s="104"/>
      <c r="F657" s="105"/>
      <c r="G657" s="105"/>
      <c r="H657" s="126">
        <f>204171.39*5.8108</f>
        <v>1186399.1130120002</v>
      </c>
      <c r="I657" s="127"/>
      <c r="J657" s="126">
        <f>33670.74*5.8108</f>
        <v>195653.93599200001</v>
      </c>
      <c r="K657" s="126">
        <f>33670.74*5.8108</f>
        <v>195653.93599200001</v>
      </c>
      <c r="L657" s="127"/>
      <c r="M657" s="126">
        <f>17671.19*5.8108</f>
        <v>102683.750852</v>
      </c>
      <c r="N657" s="126">
        <f>51341.93*5.8108</f>
        <v>298337.68684400001</v>
      </c>
      <c r="O657" s="127"/>
      <c r="P657" s="126">
        <f>25793.78*5.8108</f>
        <v>149882.496824</v>
      </c>
      <c r="Q657" s="126">
        <f>77135.71*5.8108</f>
        <v>448220.18366800004</v>
      </c>
      <c r="R657" s="127"/>
      <c r="S657" s="126">
        <f>77135.71*5.8108</f>
        <v>448220.18366800004</v>
      </c>
      <c r="T657" s="127"/>
      <c r="U657" s="126">
        <f>127035.68*5.8108</f>
        <v>738178.92934400006</v>
      </c>
    </row>
    <row r="658" spans="1:21" s="56" customFormat="1" outlineLevel="1" x14ac:dyDescent="0.2">
      <c r="A658" s="111" t="s">
        <v>78</v>
      </c>
      <c r="B658" s="110"/>
      <c r="C658" s="110"/>
      <c r="D658" s="110"/>
      <c r="E658" s="104"/>
      <c r="F658" s="105"/>
      <c r="G658" s="105"/>
      <c r="H658" s="126">
        <f>113493.17*5.8108</f>
        <v>659486.11223600002</v>
      </c>
      <c r="I658" s="127"/>
      <c r="J658" s="126">
        <f>25350.94*5.8108</f>
        <v>147309.24215199999</v>
      </c>
      <c r="K658" s="126">
        <f>25350.94*5.8108</f>
        <v>147309.24215199999</v>
      </c>
      <c r="L658" s="127"/>
      <c r="M658" s="126">
        <f>11829.08*5.8108</f>
        <v>68736.418063999998</v>
      </c>
      <c r="N658" s="126">
        <f>37180.02*5.8108</f>
        <v>216045.66021599999</v>
      </c>
      <c r="O658" s="127"/>
      <c r="P658" s="126">
        <f>25163.73*5.8108</f>
        <v>146221.40228400001</v>
      </c>
      <c r="Q658" s="126">
        <f>62343.75*5.8108</f>
        <v>362267.0625</v>
      </c>
      <c r="R658" s="127"/>
      <c r="S658" s="126">
        <f>62343.75*5.8108</f>
        <v>362267.0625</v>
      </c>
      <c r="T658" s="127"/>
      <c r="U658" s="126">
        <f>51149.42*5.8108</f>
        <v>297219.04973600002</v>
      </c>
    </row>
    <row r="659" spans="1:21" s="56" customFormat="1" outlineLevel="1" x14ac:dyDescent="0.2">
      <c r="A659" s="111" t="s">
        <v>266</v>
      </c>
      <c r="B659" s="110"/>
      <c r="C659" s="110"/>
      <c r="D659" s="110"/>
      <c r="E659" s="104"/>
      <c r="F659" s="105"/>
      <c r="G659" s="105"/>
      <c r="H659" s="126">
        <f>11179652.81*4.4103</f>
        <v>49305622.787943006</v>
      </c>
      <c r="I659" s="127"/>
      <c r="J659" s="126">
        <f>3666608.37*4.4103</f>
        <v>16170842.894211002</v>
      </c>
      <c r="K659" s="126">
        <f>3666608.37*4.4103</f>
        <v>16170842.894211002</v>
      </c>
      <c r="L659" s="127"/>
      <c r="M659" s="126">
        <f>1032488.92*4.4103</f>
        <v>4553585.8838760005</v>
      </c>
      <c r="N659" s="126">
        <f>4699097.29*4.4103</f>
        <v>20724428.778087001</v>
      </c>
      <c r="O659" s="127"/>
      <c r="P659" s="126">
        <f>3507457.16*4.4103</f>
        <v>15468938.312748002</v>
      </c>
      <c r="Q659" s="126">
        <f>8206554.45*4.4103</f>
        <v>36193367.090835005</v>
      </c>
      <c r="R659" s="127"/>
      <c r="S659" s="126">
        <f>8206554.45*4.4103</f>
        <v>36193367.090835005</v>
      </c>
      <c r="T659" s="127"/>
      <c r="U659" s="126">
        <f>2973098.36*4.4103</f>
        <v>13112255.697108001</v>
      </c>
    </row>
    <row r="660" spans="1:21" s="56" customFormat="1" x14ac:dyDescent="0.2">
      <c r="A660" s="109" t="s">
        <v>79</v>
      </c>
      <c r="B660" s="110"/>
      <c r="C660" s="110"/>
      <c r="D660" s="110"/>
      <c r="E660" s="104"/>
      <c r="F660" s="105"/>
      <c r="G660" s="105"/>
      <c r="H660" s="126">
        <f>105857.38*5.8108</f>
        <v>615116.06370400009</v>
      </c>
      <c r="I660" s="127"/>
      <c r="J660" s="126">
        <f>22130.41*5.8108</f>
        <v>128595.38642800001</v>
      </c>
      <c r="K660" s="126">
        <f>22130.41*5.8108</f>
        <v>128595.38642800001</v>
      </c>
      <c r="L660" s="127"/>
      <c r="M660" s="126">
        <f>11237.63*5.8108</f>
        <v>65299.620404000001</v>
      </c>
      <c r="N660" s="126">
        <f>33368.04*5.8108</f>
        <v>193895.00683200001</v>
      </c>
      <c r="O660" s="127"/>
      <c r="P660" s="126">
        <f>23905.54*5.8108</f>
        <v>138910.31183200001</v>
      </c>
      <c r="Q660" s="126">
        <f>57273.58*5.8108</f>
        <v>332805.31866400002</v>
      </c>
      <c r="R660" s="127"/>
      <c r="S660" s="126">
        <f>57273.58*5.8108</f>
        <v>332805.31866400002</v>
      </c>
      <c r="T660" s="127"/>
      <c r="U660" s="126">
        <f>48583.8*5.8108</f>
        <v>282310.74504000001</v>
      </c>
    </row>
    <row r="661" spans="1:21" s="56" customFormat="1" x14ac:dyDescent="0.2">
      <c r="A661" s="109" t="s">
        <v>80</v>
      </c>
      <c r="B661" s="110"/>
      <c r="C661" s="110"/>
      <c r="D661" s="110"/>
      <c r="E661" s="104"/>
      <c r="F661" s="105"/>
      <c r="G661" s="105"/>
      <c r="H661" s="126">
        <f>73127.72*5.8108</f>
        <v>424930.55537600006</v>
      </c>
      <c r="I661" s="127"/>
      <c r="J661" s="126">
        <f>15827.11*5.8108</f>
        <v>91968.170788000003</v>
      </c>
      <c r="K661" s="126">
        <f>15827.11*5.8108</f>
        <v>91968.170788000003</v>
      </c>
      <c r="L661" s="127"/>
      <c r="M661" s="126">
        <f>7688.9*5.8108</f>
        <v>44678.66012</v>
      </c>
      <c r="N661" s="126">
        <f>23516.01*5.8108</f>
        <v>136646.830908</v>
      </c>
      <c r="O661" s="127"/>
      <c r="P661" s="126">
        <f>16356.42*5.8108</f>
        <v>95043.885336000007</v>
      </c>
      <c r="Q661" s="126">
        <f>39872.43*5.8108</f>
        <v>231690.71624400001</v>
      </c>
      <c r="R661" s="127"/>
      <c r="S661" s="126">
        <f>39872.43*5.8108</f>
        <v>231690.71624400001</v>
      </c>
      <c r="T661" s="127"/>
      <c r="U661" s="126">
        <f>33255.29*5.8108</f>
        <v>193239.83913200002</v>
      </c>
    </row>
    <row r="662" spans="1:21" s="56" customFormat="1" x14ac:dyDescent="0.2">
      <c r="A662" s="109" t="s">
        <v>81</v>
      </c>
      <c r="B662" s="110"/>
      <c r="C662" s="110"/>
      <c r="D662" s="110"/>
      <c r="E662" s="104"/>
      <c r="F662" s="105"/>
      <c r="G662" s="105"/>
      <c r="H662" s="126">
        <f>H655</f>
        <v>53585419.643082999</v>
      </c>
      <c r="I662" s="126"/>
      <c r="J662" s="126">
        <f t="shared" ref="I662:U662" si="18">J655</f>
        <v>16610734.516347002</v>
      </c>
      <c r="K662" s="126">
        <f t="shared" si="18"/>
        <v>16610734.516347002</v>
      </c>
      <c r="L662" s="126"/>
      <c r="M662" s="126">
        <f t="shared" si="18"/>
        <v>4790487.3769120006</v>
      </c>
      <c r="N662" s="126">
        <f t="shared" si="18"/>
        <v>21401221.893259</v>
      </c>
      <c r="O662" s="126"/>
      <c r="P662" s="126">
        <f t="shared" si="18"/>
        <v>15888620.379240001</v>
      </c>
      <c r="Q662" s="126">
        <f t="shared" si="18"/>
        <v>37289842.272499003</v>
      </c>
      <c r="R662" s="126"/>
      <c r="S662" s="126">
        <f t="shared" si="18"/>
        <v>37289842.272499003</v>
      </c>
      <c r="T662" s="126"/>
      <c r="U662" s="126">
        <f t="shared" si="18"/>
        <v>16295577.370584002</v>
      </c>
    </row>
    <row r="663" spans="1:21" s="56" customFormat="1" x14ac:dyDescent="0.2">
      <c r="A663" s="109" t="s">
        <v>82</v>
      </c>
      <c r="B663" s="110"/>
      <c r="C663" s="110"/>
      <c r="D663" s="110"/>
      <c r="E663" s="104"/>
      <c r="F663" s="105"/>
      <c r="G663" s="105"/>
      <c r="H663" s="128">
        <f>H662</f>
        <v>53585419.643082999</v>
      </c>
      <c r="I663" s="128"/>
      <c r="J663" s="128">
        <f t="shared" ref="I663:U663" si="19">J662</f>
        <v>16610734.516347002</v>
      </c>
      <c r="K663" s="128">
        <f t="shared" si="19"/>
        <v>16610734.516347002</v>
      </c>
      <c r="L663" s="128"/>
      <c r="M663" s="128">
        <f t="shared" si="19"/>
        <v>4790487.3769120006</v>
      </c>
      <c r="N663" s="128">
        <f t="shared" si="19"/>
        <v>21401221.893259</v>
      </c>
      <c r="O663" s="128"/>
      <c r="P663" s="128">
        <f t="shared" si="19"/>
        <v>15888620.379240001</v>
      </c>
      <c r="Q663" s="128">
        <f t="shared" si="19"/>
        <v>37289842.272499003</v>
      </c>
      <c r="R663" s="128"/>
      <c r="S663" s="128">
        <f t="shared" si="19"/>
        <v>37289842.272499003</v>
      </c>
      <c r="T663" s="128"/>
      <c r="U663" s="128">
        <f t="shared" si="19"/>
        <v>16295577.370584002</v>
      </c>
    </row>
    <row r="664" spans="1:21" s="56" customFormat="1" x14ac:dyDescent="0.2">
      <c r="A664" s="9"/>
      <c r="B664" s="62"/>
      <c r="C664" s="50"/>
      <c r="D664" s="51"/>
      <c r="E664" s="9"/>
      <c r="F664" s="5"/>
      <c r="G664" s="5"/>
    </row>
    <row r="665" spans="1:21" s="56" customFormat="1" x14ac:dyDescent="0.2">
      <c r="A665" s="9"/>
      <c r="B665" s="62"/>
      <c r="C665" s="50"/>
      <c r="D665" s="51"/>
      <c r="E665" s="9"/>
      <c r="F665" s="5"/>
      <c r="G665" s="5"/>
    </row>
    <row r="666" spans="1:21" s="56" customFormat="1" x14ac:dyDescent="0.2">
      <c r="A666" s="9"/>
      <c r="B666" s="62"/>
      <c r="C666" s="50"/>
      <c r="D666" s="51"/>
      <c r="E666" s="9"/>
      <c r="F666" s="5"/>
      <c r="G666" s="5"/>
    </row>
    <row r="667" spans="1:21" s="56" customFormat="1" x14ac:dyDescent="0.2">
      <c r="A667" s="9"/>
      <c r="B667" s="62"/>
      <c r="C667" s="50"/>
      <c r="D667" s="51"/>
      <c r="E667" s="9"/>
      <c r="F667" s="5"/>
      <c r="G667" s="5"/>
    </row>
    <row r="668" spans="1:21" s="56" customFormat="1" x14ac:dyDescent="0.2">
      <c r="A668" s="9"/>
      <c r="B668" s="62"/>
      <c r="C668" s="50"/>
      <c r="D668" s="51"/>
      <c r="E668" s="9"/>
      <c r="F668" s="5"/>
      <c r="G668" s="5"/>
    </row>
    <row r="669" spans="1:21" s="56" customFormat="1" x14ac:dyDescent="0.2">
      <c r="A669" s="9"/>
      <c r="B669" s="62"/>
      <c r="C669" s="50"/>
      <c r="D669" s="51"/>
      <c r="E669" s="9"/>
      <c r="F669" s="5"/>
      <c r="G669" s="5"/>
    </row>
    <row r="670" spans="1:21" s="56" customFormat="1" x14ac:dyDescent="0.2">
      <c r="A670" s="9"/>
      <c r="B670" s="62"/>
      <c r="C670" s="50"/>
      <c r="D670" s="51"/>
      <c r="E670" s="9"/>
      <c r="F670" s="5"/>
      <c r="G670" s="5"/>
    </row>
    <row r="671" spans="1:21" s="56" customFormat="1" x14ac:dyDescent="0.2">
      <c r="A671" s="9"/>
      <c r="B671" s="62"/>
      <c r="C671" s="50"/>
      <c r="D671" s="51"/>
      <c r="E671" s="9"/>
      <c r="F671" s="5"/>
      <c r="G671" s="5"/>
    </row>
    <row r="672" spans="1:21" s="56" customFormat="1" x14ac:dyDescent="0.2">
      <c r="A672" s="9"/>
      <c r="B672" s="62"/>
      <c r="C672" s="50"/>
      <c r="D672" s="51"/>
      <c r="E672" s="9"/>
      <c r="F672" s="5"/>
      <c r="G672" s="5"/>
    </row>
    <row r="673" spans="1:7" s="56" customFormat="1" x14ac:dyDescent="0.2">
      <c r="A673" s="9"/>
      <c r="B673" s="62"/>
      <c r="C673" s="50"/>
      <c r="D673" s="51"/>
      <c r="E673" s="9"/>
      <c r="F673" s="5"/>
      <c r="G673" s="5"/>
    </row>
    <row r="674" spans="1:7" s="56" customFormat="1" x14ac:dyDescent="0.2">
      <c r="A674" s="9"/>
      <c r="B674" s="62"/>
      <c r="C674" s="50"/>
      <c r="D674" s="51"/>
      <c r="E674" s="9"/>
      <c r="F674" s="5"/>
      <c r="G674" s="5"/>
    </row>
    <row r="675" spans="1:7" s="56" customFormat="1" x14ac:dyDescent="0.2">
      <c r="A675" s="9"/>
      <c r="B675" s="62"/>
      <c r="C675" s="50"/>
      <c r="D675" s="51"/>
      <c r="E675" s="9"/>
      <c r="F675" s="5"/>
      <c r="G675" s="5"/>
    </row>
    <row r="676" spans="1:7" s="56" customFormat="1" x14ac:dyDescent="0.2">
      <c r="A676" s="9"/>
      <c r="B676" s="62"/>
      <c r="C676" s="50"/>
      <c r="D676" s="51"/>
      <c r="E676" s="9"/>
      <c r="F676" s="5"/>
      <c r="G676" s="5"/>
    </row>
    <row r="677" spans="1:7" s="56" customFormat="1" x14ac:dyDescent="0.2">
      <c r="A677" s="9"/>
      <c r="B677" s="62"/>
      <c r="C677" s="50"/>
      <c r="D677" s="51"/>
      <c r="E677" s="9"/>
      <c r="F677" s="5"/>
      <c r="G677" s="5"/>
    </row>
    <row r="678" spans="1:7" s="56" customFormat="1" x14ac:dyDescent="0.2">
      <c r="A678" s="9"/>
      <c r="B678" s="62"/>
      <c r="C678" s="50"/>
      <c r="D678" s="51"/>
      <c r="E678" s="9"/>
      <c r="F678" s="5"/>
      <c r="G678" s="5"/>
    </row>
    <row r="679" spans="1:7" s="56" customFormat="1" x14ac:dyDescent="0.2">
      <c r="A679" s="9"/>
      <c r="B679" s="62"/>
      <c r="C679" s="50"/>
      <c r="D679" s="51"/>
      <c r="E679" s="9"/>
      <c r="F679" s="5"/>
      <c r="G679" s="5"/>
    </row>
    <row r="680" spans="1:7" s="56" customFormat="1" x14ac:dyDescent="0.2">
      <c r="A680" s="9"/>
      <c r="B680" s="62"/>
      <c r="C680" s="50"/>
      <c r="D680" s="51"/>
      <c r="E680" s="9"/>
      <c r="F680" s="5"/>
      <c r="G680" s="5"/>
    </row>
    <row r="681" spans="1:7" s="56" customFormat="1" x14ac:dyDescent="0.2">
      <c r="A681" s="9"/>
      <c r="B681" s="62"/>
      <c r="C681" s="50"/>
      <c r="D681" s="51"/>
      <c r="E681" s="9"/>
      <c r="F681" s="5"/>
      <c r="G681" s="5"/>
    </row>
    <row r="682" spans="1:7" s="56" customFormat="1" x14ac:dyDescent="0.2">
      <c r="A682" s="9"/>
      <c r="B682" s="62"/>
      <c r="C682" s="50"/>
      <c r="D682" s="51"/>
      <c r="E682" s="9"/>
      <c r="F682" s="5"/>
      <c r="G682" s="5"/>
    </row>
    <row r="683" spans="1:7" s="56" customFormat="1" x14ac:dyDescent="0.2">
      <c r="A683" s="9"/>
      <c r="B683" s="62"/>
      <c r="C683" s="50"/>
      <c r="D683" s="51"/>
      <c r="E683" s="9"/>
      <c r="F683" s="5"/>
      <c r="G683" s="5"/>
    </row>
    <row r="684" spans="1:7" s="56" customFormat="1" x14ac:dyDescent="0.2">
      <c r="A684" s="9"/>
      <c r="B684" s="62"/>
      <c r="C684" s="50"/>
      <c r="D684" s="51"/>
      <c r="E684" s="9"/>
      <c r="F684" s="5"/>
      <c r="G684" s="5"/>
    </row>
    <row r="685" spans="1:7" s="56" customFormat="1" x14ac:dyDescent="0.2">
      <c r="A685" s="9"/>
      <c r="B685" s="62"/>
      <c r="C685" s="50"/>
      <c r="D685" s="51"/>
      <c r="E685" s="9"/>
      <c r="F685" s="5"/>
      <c r="G685" s="5"/>
    </row>
    <row r="686" spans="1:7" s="56" customFormat="1" x14ac:dyDescent="0.2">
      <c r="A686" s="9"/>
      <c r="B686" s="62"/>
      <c r="C686" s="50"/>
      <c r="D686" s="51"/>
      <c r="E686" s="9"/>
      <c r="F686" s="5"/>
      <c r="G686" s="5"/>
    </row>
    <row r="687" spans="1:7" s="56" customFormat="1" x14ac:dyDescent="0.2">
      <c r="A687" s="9"/>
      <c r="B687" s="62"/>
      <c r="C687" s="50"/>
      <c r="D687" s="51"/>
      <c r="E687" s="9"/>
      <c r="F687" s="5"/>
      <c r="G687" s="5"/>
    </row>
    <row r="688" spans="1:7" s="56" customFormat="1" x14ac:dyDescent="0.2">
      <c r="A688" s="9"/>
      <c r="B688" s="62"/>
      <c r="C688" s="50"/>
      <c r="D688" s="51"/>
      <c r="E688" s="9"/>
      <c r="F688" s="5"/>
      <c r="G688" s="5"/>
    </row>
    <row r="689" spans="1:7" s="56" customFormat="1" x14ac:dyDescent="0.2">
      <c r="A689" s="9"/>
      <c r="B689" s="62"/>
      <c r="C689" s="50"/>
      <c r="D689" s="51"/>
      <c r="E689" s="9"/>
      <c r="F689" s="5"/>
      <c r="G689" s="5"/>
    </row>
    <row r="690" spans="1:7" s="56" customFormat="1" x14ac:dyDescent="0.2">
      <c r="A690" s="9"/>
      <c r="B690" s="62"/>
      <c r="C690" s="50"/>
      <c r="D690" s="51"/>
      <c r="E690" s="9"/>
      <c r="F690" s="5"/>
      <c r="G690" s="5"/>
    </row>
    <row r="691" spans="1:7" s="56" customFormat="1" x14ac:dyDescent="0.2">
      <c r="A691" s="9"/>
      <c r="B691" s="62"/>
      <c r="C691" s="50"/>
      <c r="D691" s="51"/>
      <c r="E691" s="9"/>
      <c r="F691" s="5"/>
      <c r="G691" s="5"/>
    </row>
    <row r="692" spans="1:7" s="56" customFormat="1" x14ac:dyDescent="0.2">
      <c r="A692" s="9"/>
      <c r="B692" s="62"/>
      <c r="C692" s="50"/>
      <c r="D692" s="51"/>
      <c r="E692" s="9"/>
      <c r="F692" s="5"/>
      <c r="G692" s="5"/>
    </row>
    <row r="693" spans="1:7" s="56" customFormat="1" x14ac:dyDescent="0.2">
      <c r="A693" s="9"/>
      <c r="B693" s="62"/>
      <c r="C693" s="50"/>
      <c r="D693" s="51"/>
      <c r="E693" s="9"/>
      <c r="F693" s="5"/>
      <c r="G693" s="5"/>
    </row>
    <row r="694" spans="1:7" s="56" customFormat="1" x14ac:dyDescent="0.2">
      <c r="A694" s="9"/>
      <c r="B694" s="62"/>
      <c r="C694" s="50"/>
      <c r="D694" s="51"/>
      <c r="E694" s="9"/>
      <c r="F694" s="5"/>
      <c r="G694" s="5"/>
    </row>
    <row r="695" spans="1:7" s="56" customFormat="1" x14ac:dyDescent="0.2">
      <c r="A695" s="9"/>
      <c r="B695" s="62"/>
      <c r="C695" s="50"/>
      <c r="D695" s="51"/>
      <c r="E695" s="9"/>
      <c r="F695" s="5"/>
      <c r="G695" s="5"/>
    </row>
    <row r="696" spans="1:7" s="56" customFormat="1" x14ac:dyDescent="0.2">
      <c r="A696" s="9"/>
      <c r="B696" s="62"/>
      <c r="C696" s="50"/>
      <c r="D696" s="51"/>
      <c r="E696" s="9"/>
      <c r="F696" s="5"/>
      <c r="G696" s="5"/>
    </row>
    <row r="697" spans="1:7" s="56" customFormat="1" x14ac:dyDescent="0.2">
      <c r="A697" s="9"/>
      <c r="B697" s="62"/>
      <c r="C697" s="50"/>
      <c r="D697" s="51"/>
      <c r="E697" s="9"/>
      <c r="F697" s="5"/>
      <c r="G697" s="5"/>
    </row>
    <row r="698" spans="1:7" s="56" customFormat="1" x14ac:dyDescent="0.2">
      <c r="A698" s="9"/>
      <c r="B698" s="62"/>
      <c r="C698" s="50"/>
      <c r="D698" s="51"/>
      <c r="E698" s="9"/>
      <c r="F698" s="5"/>
      <c r="G698" s="5"/>
    </row>
    <row r="699" spans="1:7" s="56" customFormat="1" x14ac:dyDescent="0.2">
      <c r="A699" s="9"/>
      <c r="B699" s="62"/>
      <c r="C699" s="50"/>
      <c r="D699" s="51"/>
      <c r="E699" s="9"/>
      <c r="F699" s="5"/>
      <c r="G699" s="5"/>
    </row>
    <row r="700" spans="1:7" s="56" customFormat="1" x14ac:dyDescent="0.2">
      <c r="A700" s="9"/>
      <c r="B700" s="62"/>
      <c r="C700" s="50"/>
      <c r="D700" s="51"/>
      <c r="E700" s="9"/>
      <c r="F700" s="5"/>
      <c r="G700" s="5"/>
    </row>
    <row r="701" spans="1:7" s="56" customFormat="1" x14ac:dyDescent="0.2">
      <c r="A701" s="9"/>
      <c r="B701" s="62"/>
      <c r="C701" s="50"/>
      <c r="D701" s="51"/>
      <c r="E701" s="9"/>
      <c r="F701" s="5"/>
      <c r="G701" s="5"/>
    </row>
    <row r="702" spans="1:7" s="56" customFormat="1" x14ac:dyDescent="0.2">
      <c r="A702" s="9"/>
      <c r="B702" s="62"/>
      <c r="C702" s="50"/>
      <c r="D702" s="51"/>
      <c r="E702" s="9"/>
      <c r="F702" s="5"/>
      <c r="G702" s="5"/>
    </row>
    <row r="703" spans="1:7" s="56" customFormat="1" x14ac:dyDescent="0.2">
      <c r="A703" s="9"/>
      <c r="B703" s="62"/>
      <c r="C703" s="50"/>
      <c r="D703" s="51"/>
      <c r="E703" s="9"/>
      <c r="F703" s="5"/>
      <c r="G703" s="5"/>
    </row>
    <row r="704" spans="1:7" s="56" customFormat="1" x14ac:dyDescent="0.2">
      <c r="A704" s="9"/>
      <c r="B704" s="62"/>
      <c r="C704" s="50"/>
      <c r="D704" s="51"/>
      <c r="E704" s="9"/>
      <c r="F704" s="5"/>
      <c r="G704" s="5"/>
    </row>
    <row r="705" spans="1:7" s="56" customFormat="1" x14ac:dyDescent="0.2">
      <c r="A705" s="9"/>
      <c r="B705" s="62"/>
      <c r="C705" s="50"/>
      <c r="D705" s="51"/>
      <c r="E705" s="9"/>
      <c r="F705" s="5"/>
      <c r="G705" s="5"/>
    </row>
    <row r="706" spans="1:7" s="56" customFormat="1" x14ac:dyDescent="0.2">
      <c r="A706" s="9"/>
      <c r="B706" s="62"/>
      <c r="C706" s="50"/>
      <c r="D706" s="51"/>
      <c r="E706" s="9"/>
      <c r="F706" s="5"/>
      <c r="G706" s="5"/>
    </row>
    <row r="707" spans="1:7" s="56" customFormat="1" x14ac:dyDescent="0.2">
      <c r="A707" s="9"/>
      <c r="B707" s="62"/>
      <c r="C707" s="50"/>
      <c r="D707" s="51"/>
      <c r="E707" s="9"/>
      <c r="F707" s="5"/>
      <c r="G707" s="5"/>
    </row>
    <row r="708" spans="1:7" s="56" customFormat="1" x14ac:dyDescent="0.2">
      <c r="A708" s="9"/>
      <c r="B708" s="62"/>
      <c r="C708" s="50"/>
      <c r="D708" s="51"/>
      <c r="E708" s="9"/>
      <c r="F708" s="5"/>
      <c r="G708" s="5"/>
    </row>
    <row r="709" spans="1:7" s="56" customFormat="1" x14ac:dyDescent="0.2">
      <c r="A709" s="9"/>
      <c r="B709" s="62"/>
      <c r="C709" s="50"/>
      <c r="D709" s="51"/>
      <c r="E709" s="9"/>
      <c r="F709" s="5"/>
      <c r="G709" s="5"/>
    </row>
    <row r="710" spans="1:7" s="56" customFormat="1" x14ac:dyDescent="0.2">
      <c r="A710" s="9"/>
      <c r="B710" s="62"/>
      <c r="C710" s="50"/>
      <c r="D710" s="51"/>
      <c r="E710" s="9"/>
      <c r="F710" s="5"/>
      <c r="G710" s="5"/>
    </row>
    <row r="711" spans="1:7" s="56" customFormat="1" x14ac:dyDescent="0.2">
      <c r="A711" s="9"/>
      <c r="B711" s="62"/>
      <c r="C711" s="50"/>
      <c r="D711" s="51"/>
      <c r="E711" s="9"/>
      <c r="F711" s="5"/>
      <c r="G711" s="5"/>
    </row>
    <row r="712" spans="1:7" s="56" customFormat="1" x14ac:dyDescent="0.2">
      <c r="A712" s="9"/>
      <c r="B712" s="62"/>
      <c r="C712" s="50"/>
      <c r="D712" s="51"/>
      <c r="E712" s="9"/>
      <c r="F712" s="5"/>
      <c r="G712" s="5"/>
    </row>
    <row r="713" spans="1:7" s="56" customFormat="1" x14ac:dyDescent="0.2">
      <c r="A713" s="9"/>
      <c r="B713" s="62"/>
      <c r="C713" s="50"/>
      <c r="D713" s="51"/>
      <c r="E713" s="9"/>
      <c r="F713" s="5"/>
      <c r="G713" s="5"/>
    </row>
    <row r="714" spans="1:7" s="56" customFormat="1" x14ac:dyDescent="0.2">
      <c r="A714" s="9"/>
      <c r="B714" s="62"/>
      <c r="C714" s="50"/>
      <c r="D714" s="51"/>
      <c r="E714" s="9"/>
      <c r="F714" s="5"/>
      <c r="G714" s="5"/>
    </row>
    <row r="715" spans="1:7" s="56" customFormat="1" x14ac:dyDescent="0.2">
      <c r="A715" s="9"/>
      <c r="B715" s="62"/>
      <c r="C715" s="50"/>
      <c r="D715" s="51"/>
      <c r="E715" s="9"/>
      <c r="F715" s="5"/>
      <c r="G715" s="5"/>
    </row>
    <row r="716" spans="1:7" s="56" customFormat="1" x14ac:dyDescent="0.2">
      <c r="A716" s="9"/>
      <c r="B716" s="62"/>
      <c r="C716" s="50"/>
      <c r="D716" s="51"/>
      <c r="E716" s="9"/>
      <c r="F716" s="5"/>
      <c r="G716" s="5"/>
    </row>
    <row r="717" spans="1:7" s="56" customFormat="1" x14ac:dyDescent="0.2">
      <c r="A717" s="9"/>
      <c r="B717" s="62"/>
      <c r="C717" s="50"/>
      <c r="D717" s="51"/>
      <c r="E717" s="9"/>
      <c r="F717" s="5"/>
      <c r="G717" s="5"/>
    </row>
    <row r="718" spans="1:7" s="56" customFormat="1" x14ac:dyDescent="0.2">
      <c r="A718" s="9"/>
      <c r="B718" s="62"/>
      <c r="C718" s="50"/>
      <c r="D718" s="51"/>
      <c r="E718" s="9"/>
      <c r="F718" s="5"/>
      <c r="G718" s="5"/>
    </row>
    <row r="719" spans="1:7" s="56" customFormat="1" x14ac:dyDescent="0.2">
      <c r="A719" s="9"/>
      <c r="B719" s="62"/>
      <c r="C719" s="50"/>
      <c r="D719" s="51"/>
      <c r="E719" s="9"/>
      <c r="F719" s="5"/>
      <c r="G719" s="5"/>
    </row>
    <row r="720" spans="1:7" s="56" customFormat="1" x14ac:dyDescent="0.2">
      <c r="A720" s="9"/>
      <c r="B720" s="62"/>
      <c r="C720" s="50"/>
      <c r="D720" s="51"/>
      <c r="E720" s="9"/>
      <c r="F720" s="5"/>
      <c r="G720" s="5"/>
    </row>
    <row r="721" spans="1:7" s="56" customFormat="1" x14ac:dyDescent="0.2">
      <c r="A721" s="9"/>
      <c r="B721" s="62"/>
      <c r="C721" s="50"/>
      <c r="D721" s="51"/>
      <c r="E721" s="9"/>
      <c r="F721" s="5"/>
      <c r="G721" s="5"/>
    </row>
    <row r="722" spans="1:7" s="56" customFormat="1" x14ac:dyDescent="0.2">
      <c r="A722" s="9"/>
      <c r="B722" s="62"/>
      <c r="C722" s="50"/>
      <c r="D722" s="51"/>
      <c r="E722" s="9"/>
      <c r="F722" s="5"/>
      <c r="G722" s="5"/>
    </row>
    <row r="723" spans="1:7" s="56" customFormat="1" x14ac:dyDescent="0.2">
      <c r="A723" s="9"/>
      <c r="B723" s="62"/>
      <c r="C723" s="50"/>
      <c r="D723" s="51"/>
      <c r="E723" s="9"/>
      <c r="F723" s="5"/>
      <c r="G723" s="5"/>
    </row>
    <row r="724" spans="1:7" s="56" customFormat="1" x14ac:dyDescent="0.2">
      <c r="A724" s="9"/>
      <c r="B724" s="62"/>
      <c r="C724" s="50"/>
      <c r="D724" s="51"/>
      <c r="E724" s="9"/>
      <c r="F724" s="5"/>
      <c r="G724" s="5"/>
    </row>
    <row r="725" spans="1:7" s="56" customFormat="1" x14ac:dyDescent="0.2">
      <c r="A725" s="9"/>
      <c r="B725" s="62"/>
      <c r="C725" s="50"/>
      <c r="D725" s="51"/>
      <c r="E725" s="9"/>
      <c r="F725" s="5"/>
      <c r="G725" s="5"/>
    </row>
    <row r="726" spans="1:7" s="56" customFormat="1" x14ac:dyDescent="0.2">
      <c r="A726" s="9"/>
      <c r="B726" s="62"/>
      <c r="C726" s="50"/>
      <c r="D726" s="51"/>
      <c r="E726" s="9"/>
      <c r="F726" s="5"/>
      <c r="G726" s="5"/>
    </row>
    <row r="727" spans="1:7" s="56" customFormat="1" x14ac:dyDescent="0.2">
      <c r="A727" s="9"/>
      <c r="B727" s="62"/>
      <c r="C727" s="50"/>
      <c r="D727" s="51"/>
      <c r="E727" s="9"/>
      <c r="F727" s="5"/>
      <c r="G727" s="5"/>
    </row>
    <row r="728" spans="1:7" s="56" customFormat="1" x14ac:dyDescent="0.2">
      <c r="A728" s="9"/>
      <c r="B728" s="62"/>
      <c r="C728" s="50"/>
      <c r="D728" s="51"/>
      <c r="E728" s="9"/>
      <c r="F728" s="5"/>
      <c r="G728" s="5"/>
    </row>
    <row r="729" spans="1:7" s="56" customFormat="1" x14ac:dyDescent="0.2">
      <c r="A729" s="9"/>
      <c r="B729" s="62"/>
      <c r="C729" s="50"/>
      <c r="D729" s="51"/>
      <c r="E729" s="9"/>
      <c r="F729" s="5"/>
      <c r="G729" s="5"/>
    </row>
    <row r="730" spans="1:7" s="56" customFormat="1" x14ac:dyDescent="0.2">
      <c r="A730" s="9"/>
      <c r="B730" s="62"/>
      <c r="C730" s="50"/>
      <c r="D730" s="51"/>
      <c r="E730" s="9"/>
      <c r="F730" s="5"/>
      <c r="G730" s="5"/>
    </row>
    <row r="731" spans="1:7" s="56" customFormat="1" x14ac:dyDescent="0.2">
      <c r="A731" s="9"/>
      <c r="B731" s="62"/>
      <c r="C731" s="50"/>
      <c r="D731" s="51"/>
      <c r="E731" s="9"/>
      <c r="F731" s="5"/>
      <c r="G731" s="5"/>
    </row>
    <row r="732" spans="1:7" s="56" customFormat="1" x14ac:dyDescent="0.2">
      <c r="A732" s="9"/>
      <c r="B732" s="62"/>
      <c r="C732" s="50"/>
      <c r="D732" s="51"/>
      <c r="E732" s="9"/>
      <c r="F732" s="5"/>
      <c r="G732" s="5"/>
    </row>
    <row r="733" spans="1:7" s="56" customFormat="1" x14ac:dyDescent="0.2">
      <c r="A733" s="9"/>
      <c r="B733" s="62"/>
      <c r="C733" s="50"/>
      <c r="D733" s="51"/>
      <c r="E733" s="9"/>
      <c r="F733" s="5"/>
      <c r="G733" s="5"/>
    </row>
    <row r="734" spans="1:7" s="56" customFormat="1" x14ac:dyDescent="0.2">
      <c r="A734" s="9"/>
      <c r="B734" s="62"/>
      <c r="C734" s="50"/>
      <c r="D734" s="51"/>
      <c r="E734" s="9"/>
      <c r="F734" s="5"/>
      <c r="G734" s="5"/>
    </row>
    <row r="735" spans="1:7" s="56" customFormat="1" x14ac:dyDescent="0.2">
      <c r="A735" s="9"/>
      <c r="B735" s="62"/>
      <c r="C735" s="50"/>
      <c r="D735" s="51"/>
      <c r="E735" s="9"/>
      <c r="F735" s="5"/>
      <c r="G735" s="5"/>
    </row>
    <row r="736" spans="1:7" s="56" customFormat="1" x14ac:dyDescent="0.2">
      <c r="A736" s="9"/>
      <c r="B736" s="62"/>
      <c r="C736" s="50"/>
      <c r="D736" s="51"/>
      <c r="E736" s="9"/>
      <c r="F736" s="5"/>
      <c r="G736" s="5"/>
    </row>
    <row r="737" spans="1:7" s="56" customFormat="1" x14ac:dyDescent="0.2">
      <c r="A737" s="9"/>
      <c r="B737" s="62"/>
      <c r="C737" s="50"/>
      <c r="D737" s="51"/>
      <c r="E737" s="9"/>
      <c r="F737" s="5"/>
      <c r="G737" s="5"/>
    </row>
    <row r="738" spans="1:7" s="56" customFormat="1" x14ac:dyDescent="0.2">
      <c r="A738" s="9"/>
      <c r="B738" s="62"/>
      <c r="C738" s="50"/>
      <c r="D738" s="51"/>
      <c r="E738" s="9"/>
      <c r="F738" s="5"/>
      <c r="G738" s="5"/>
    </row>
    <row r="739" spans="1:7" s="56" customFormat="1" x14ac:dyDescent="0.2">
      <c r="A739" s="9"/>
      <c r="B739" s="62"/>
      <c r="C739" s="50"/>
      <c r="D739" s="51"/>
      <c r="E739" s="9"/>
      <c r="F739" s="5"/>
      <c r="G739" s="5"/>
    </row>
    <row r="740" spans="1:7" s="56" customFormat="1" x14ac:dyDescent="0.2">
      <c r="A740" s="9"/>
      <c r="B740" s="62"/>
      <c r="C740" s="50"/>
      <c r="D740" s="51"/>
      <c r="E740" s="9"/>
      <c r="F740" s="5"/>
      <c r="G740" s="5"/>
    </row>
    <row r="741" spans="1:7" s="56" customFormat="1" x14ac:dyDescent="0.2">
      <c r="A741" s="9"/>
      <c r="B741" s="62"/>
      <c r="C741" s="50"/>
      <c r="D741" s="51"/>
      <c r="E741" s="9"/>
      <c r="F741" s="5"/>
      <c r="G741" s="5"/>
    </row>
    <row r="742" spans="1:7" s="56" customFormat="1" x14ac:dyDescent="0.2">
      <c r="A742" s="9"/>
      <c r="B742" s="62"/>
      <c r="C742" s="50"/>
      <c r="D742" s="51"/>
      <c r="E742" s="9"/>
      <c r="F742" s="5"/>
      <c r="G742" s="5"/>
    </row>
    <row r="743" spans="1:7" s="56" customFormat="1" x14ac:dyDescent="0.2">
      <c r="A743" s="9"/>
      <c r="B743" s="62"/>
      <c r="C743" s="50"/>
      <c r="D743" s="51"/>
      <c r="E743" s="9"/>
      <c r="F743" s="5"/>
      <c r="G743" s="5"/>
    </row>
    <row r="744" spans="1:7" s="56" customFormat="1" x14ac:dyDescent="0.2">
      <c r="A744" s="9"/>
      <c r="B744" s="62"/>
      <c r="C744" s="50"/>
      <c r="D744" s="51"/>
      <c r="E744" s="9"/>
      <c r="F744" s="5"/>
      <c r="G744" s="5"/>
    </row>
    <row r="745" spans="1:7" s="56" customFormat="1" x14ac:dyDescent="0.2">
      <c r="A745" s="9"/>
      <c r="B745" s="62"/>
      <c r="C745" s="50"/>
      <c r="D745" s="51"/>
      <c r="E745" s="9"/>
      <c r="F745" s="5"/>
      <c r="G745" s="5"/>
    </row>
    <row r="746" spans="1:7" s="56" customFormat="1" x14ac:dyDescent="0.2">
      <c r="A746" s="9"/>
      <c r="B746" s="62"/>
      <c r="C746" s="50"/>
      <c r="D746" s="51"/>
      <c r="E746" s="9"/>
      <c r="F746" s="5"/>
      <c r="G746" s="5"/>
    </row>
    <row r="747" spans="1:7" s="56" customFormat="1" x14ac:dyDescent="0.2">
      <c r="A747" s="9"/>
      <c r="B747" s="62"/>
      <c r="C747" s="50"/>
      <c r="D747" s="51"/>
      <c r="E747" s="9"/>
      <c r="F747" s="5"/>
      <c r="G747" s="5"/>
    </row>
    <row r="748" spans="1:7" s="56" customFormat="1" x14ac:dyDescent="0.2">
      <c r="A748" s="9"/>
      <c r="B748" s="62"/>
      <c r="C748" s="50"/>
      <c r="D748" s="51"/>
      <c r="E748" s="9"/>
      <c r="F748" s="5"/>
      <c r="G748" s="5"/>
    </row>
    <row r="749" spans="1:7" s="56" customFormat="1" x14ac:dyDescent="0.2">
      <c r="A749" s="9"/>
      <c r="B749" s="62"/>
      <c r="C749" s="50"/>
      <c r="D749" s="51"/>
      <c r="E749" s="9"/>
      <c r="F749" s="5"/>
      <c r="G749" s="5"/>
    </row>
    <row r="750" spans="1:7" s="56" customFormat="1" x14ac:dyDescent="0.2">
      <c r="A750" s="9"/>
      <c r="B750" s="62"/>
      <c r="C750" s="50"/>
      <c r="D750" s="51"/>
      <c r="E750" s="9"/>
      <c r="F750" s="5"/>
      <c r="G750" s="5"/>
    </row>
    <row r="751" spans="1:7" s="56" customFormat="1" x14ac:dyDescent="0.2">
      <c r="A751" s="9"/>
      <c r="B751" s="62"/>
      <c r="C751" s="50"/>
      <c r="D751" s="51"/>
      <c r="E751" s="9"/>
      <c r="F751" s="5"/>
      <c r="G751" s="5"/>
    </row>
    <row r="752" spans="1:7" s="56" customFormat="1" x14ac:dyDescent="0.2">
      <c r="A752" s="9"/>
      <c r="B752" s="62"/>
      <c r="C752" s="50"/>
      <c r="D752" s="51"/>
      <c r="E752" s="9"/>
      <c r="F752" s="5"/>
      <c r="G752" s="5"/>
    </row>
    <row r="753" spans="1:7" s="56" customFormat="1" x14ac:dyDescent="0.2">
      <c r="A753" s="9"/>
      <c r="B753" s="62"/>
      <c r="C753" s="50"/>
      <c r="D753" s="51"/>
      <c r="E753" s="9"/>
      <c r="F753" s="5"/>
      <c r="G753" s="5"/>
    </row>
    <row r="754" spans="1:7" s="56" customFormat="1" x14ac:dyDescent="0.2">
      <c r="A754" s="9"/>
      <c r="B754" s="62"/>
      <c r="C754" s="50"/>
      <c r="D754" s="51"/>
      <c r="E754" s="9"/>
      <c r="F754" s="5"/>
      <c r="G754" s="5"/>
    </row>
    <row r="755" spans="1:7" s="56" customFormat="1" x14ac:dyDescent="0.2">
      <c r="A755" s="9"/>
      <c r="B755" s="62"/>
      <c r="C755" s="50"/>
      <c r="D755" s="51"/>
      <c r="E755" s="9"/>
      <c r="F755" s="5"/>
      <c r="G755" s="5"/>
    </row>
    <row r="756" spans="1:7" s="56" customFormat="1" x14ac:dyDescent="0.2">
      <c r="A756" s="9"/>
      <c r="B756" s="62"/>
      <c r="C756" s="50"/>
      <c r="D756" s="51"/>
      <c r="E756" s="9"/>
      <c r="F756" s="5"/>
      <c r="G756" s="5"/>
    </row>
    <row r="757" spans="1:7" s="56" customFormat="1" x14ac:dyDescent="0.2">
      <c r="A757" s="9"/>
      <c r="B757" s="62"/>
      <c r="C757" s="50"/>
      <c r="D757" s="51"/>
      <c r="E757" s="9"/>
      <c r="F757" s="5"/>
      <c r="G757" s="5"/>
    </row>
    <row r="758" spans="1:7" s="56" customFormat="1" x14ac:dyDescent="0.2">
      <c r="A758" s="9"/>
      <c r="B758" s="62"/>
      <c r="C758" s="50"/>
      <c r="D758" s="51"/>
      <c r="E758" s="9"/>
      <c r="F758" s="5"/>
      <c r="G758" s="5"/>
    </row>
    <row r="759" spans="1:7" s="56" customFormat="1" x14ac:dyDescent="0.2">
      <c r="A759" s="9"/>
      <c r="B759" s="62"/>
      <c r="C759" s="50"/>
      <c r="D759" s="51"/>
      <c r="E759" s="9"/>
      <c r="F759" s="5"/>
      <c r="G759" s="5"/>
    </row>
    <row r="760" spans="1:7" s="56" customFormat="1" x14ac:dyDescent="0.2">
      <c r="A760" s="9"/>
      <c r="B760" s="62"/>
      <c r="C760" s="50"/>
      <c r="D760" s="51"/>
      <c r="E760" s="9"/>
      <c r="F760" s="5"/>
      <c r="G760" s="5"/>
    </row>
    <row r="761" spans="1:7" s="56" customFormat="1" x14ac:dyDescent="0.2">
      <c r="A761" s="9"/>
      <c r="B761" s="62"/>
      <c r="C761" s="50"/>
      <c r="D761" s="51"/>
      <c r="E761" s="9"/>
      <c r="F761" s="5"/>
      <c r="G761" s="5"/>
    </row>
    <row r="762" spans="1:7" s="56" customFormat="1" x14ac:dyDescent="0.2">
      <c r="A762" s="9"/>
      <c r="B762" s="62"/>
      <c r="C762" s="50"/>
      <c r="D762" s="51"/>
      <c r="E762" s="9"/>
      <c r="F762" s="5"/>
      <c r="G762" s="5"/>
    </row>
    <row r="763" spans="1:7" s="56" customFormat="1" x14ac:dyDescent="0.2">
      <c r="A763" s="9"/>
      <c r="B763" s="62"/>
      <c r="C763" s="50"/>
      <c r="D763" s="51"/>
      <c r="E763" s="9"/>
      <c r="F763" s="5"/>
      <c r="G763" s="5"/>
    </row>
    <row r="764" spans="1:7" s="56" customFormat="1" x14ac:dyDescent="0.2">
      <c r="A764" s="9"/>
      <c r="B764" s="62"/>
      <c r="C764" s="50"/>
      <c r="D764" s="51"/>
      <c r="E764" s="9"/>
      <c r="F764" s="5"/>
      <c r="G764" s="5"/>
    </row>
    <row r="765" spans="1:7" s="56" customFormat="1" x14ac:dyDescent="0.2">
      <c r="A765" s="9"/>
      <c r="B765" s="62"/>
      <c r="C765" s="50"/>
      <c r="D765" s="51"/>
      <c r="E765" s="9"/>
      <c r="F765" s="5"/>
      <c r="G765" s="5"/>
    </row>
    <row r="766" spans="1:7" s="56" customFormat="1" x14ac:dyDescent="0.2">
      <c r="A766" s="9"/>
      <c r="B766" s="62"/>
      <c r="C766" s="50"/>
      <c r="D766" s="51"/>
      <c r="E766" s="9"/>
      <c r="F766" s="5"/>
      <c r="G766" s="5"/>
    </row>
    <row r="767" spans="1:7" s="56" customFormat="1" x14ac:dyDescent="0.2">
      <c r="A767" s="9"/>
      <c r="B767" s="62"/>
      <c r="C767" s="50"/>
      <c r="D767" s="51"/>
      <c r="E767" s="9"/>
      <c r="F767" s="5"/>
      <c r="G767" s="5"/>
    </row>
    <row r="768" spans="1:7" s="56" customFormat="1" x14ac:dyDescent="0.2">
      <c r="A768" s="9"/>
      <c r="B768" s="62"/>
      <c r="C768" s="50"/>
      <c r="D768" s="51"/>
      <c r="E768" s="9"/>
      <c r="F768" s="5"/>
      <c r="G768" s="5"/>
    </row>
    <row r="769" spans="1:7" s="56" customFormat="1" x14ac:dyDescent="0.2">
      <c r="A769" s="9"/>
      <c r="B769" s="62"/>
      <c r="C769" s="50"/>
      <c r="D769" s="51"/>
      <c r="E769" s="9"/>
      <c r="F769" s="5"/>
      <c r="G769" s="5"/>
    </row>
    <row r="770" spans="1:7" s="56" customFormat="1" x14ac:dyDescent="0.2">
      <c r="A770" s="9"/>
      <c r="B770" s="62"/>
      <c r="C770" s="50"/>
      <c r="D770" s="51"/>
      <c r="E770" s="9"/>
      <c r="F770" s="5"/>
      <c r="G770" s="5"/>
    </row>
    <row r="771" spans="1:7" s="56" customFormat="1" x14ac:dyDescent="0.2">
      <c r="A771" s="9"/>
      <c r="B771" s="62"/>
      <c r="C771" s="50"/>
      <c r="D771" s="51"/>
      <c r="E771" s="9"/>
      <c r="F771" s="5"/>
      <c r="G771" s="5"/>
    </row>
    <row r="772" spans="1:7" s="56" customFormat="1" x14ac:dyDescent="0.2">
      <c r="A772" s="9"/>
      <c r="B772" s="62"/>
      <c r="C772" s="50"/>
      <c r="D772" s="51"/>
      <c r="E772" s="9"/>
      <c r="F772" s="5"/>
      <c r="G772" s="5"/>
    </row>
    <row r="773" spans="1:7" s="56" customFormat="1" x14ac:dyDescent="0.2">
      <c r="A773" s="9"/>
      <c r="B773" s="62"/>
      <c r="C773" s="50"/>
      <c r="D773" s="51"/>
      <c r="E773" s="9"/>
      <c r="F773" s="5"/>
      <c r="G773" s="5"/>
    </row>
    <row r="774" spans="1:7" s="56" customFormat="1" x14ac:dyDescent="0.2">
      <c r="A774" s="9"/>
      <c r="B774" s="62"/>
      <c r="C774" s="50"/>
      <c r="D774" s="51"/>
      <c r="E774" s="9"/>
      <c r="F774" s="5"/>
      <c r="G774" s="5"/>
    </row>
    <row r="775" spans="1:7" s="56" customFormat="1" x14ac:dyDescent="0.2">
      <c r="A775" s="9"/>
      <c r="B775" s="62"/>
      <c r="C775" s="50"/>
      <c r="D775" s="51"/>
      <c r="E775" s="9"/>
      <c r="F775" s="5"/>
      <c r="G775" s="5"/>
    </row>
    <row r="776" spans="1:7" s="56" customFormat="1" x14ac:dyDescent="0.2">
      <c r="A776" s="9"/>
      <c r="B776" s="62"/>
      <c r="C776" s="50"/>
      <c r="D776" s="51"/>
      <c r="E776" s="9"/>
      <c r="F776" s="5"/>
      <c r="G776" s="5"/>
    </row>
    <row r="777" spans="1:7" s="56" customFormat="1" x14ac:dyDescent="0.2">
      <c r="A777" s="9"/>
      <c r="B777" s="62"/>
      <c r="C777" s="50"/>
      <c r="D777" s="51"/>
      <c r="E777" s="9"/>
      <c r="F777" s="5"/>
      <c r="G777" s="5"/>
    </row>
    <row r="778" spans="1:7" s="56" customFormat="1" x14ac:dyDescent="0.2">
      <c r="A778" s="9"/>
      <c r="B778" s="62"/>
      <c r="C778" s="50"/>
      <c r="D778" s="51"/>
      <c r="E778" s="9"/>
      <c r="F778" s="5"/>
      <c r="G778" s="5"/>
    </row>
    <row r="779" spans="1:7" s="56" customFormat="1" x14ac:dyDescent="0.2">
      <c r="A779" s="9"/>
      <c r="B779" s="62"/>
      <c r="C779" s="50"/>
      <c r="D779" s="51"/>
      <c r="E779" s="9"/>
      <c r="F779" s="5"/>
      <c r="G779" s="5"/>
    </row>
    <row r="780" spans="1:7" s="56" customFormat="1" x14ac:dyDescent="0.2">
      <c r="A780" s="9"/>
      <c r="B780" s="62"/>
      <c r="C780" s="50"/>
      <c r="D780" s="51"/>
      <c r="E780" s="9"/>
      <c r="F780" s="5"/>
      <c r="G780" s="5"/>
    </row>
    <row r="781" spans="1:7" s="56" customFormat="1" x14ac:dyDescent="0.2">
      <c r="A781" s="9"/>
      <c r="B781" s="62"/>
      <c r="C781" s="50"/>
      <c r="D781" s="51"/>
      <c r="E781" s="9"/>
      <c r="F781" s="5"/>
      <c r="G781" s="5"/>
    </row>
    <row r="782" spans="1:7" s="56" customFormat="1" x14ac:dyDescent="0.2">
      <c r="A782" s="9"/>
      <c r="B782" s="62"/>
      <c r="C782" s="50"/>
      <c r="D782" s="51"/>
      <c r="E782" s="9"/>
      <c r="F782" s="5"/>
      <c r="G782" s="5"/>
    </row>
    <row r="783" spans="1:7" s="56" customFormat="1" x14ac:dyDescent="0.2">
      <c r="A783" s="9"/>
      <c r="B783" s="62"/>
      <c r="C783" s="50"/>
      <c r="D783" s="51"/>
      <c r="E783" s="9"/>
      <c r="F783" s="5"/>
      <c r="G783" s="5"/>
    </row>
    <row r="784" spans="1:7" s="56" customFormat="1" x14ac:dyDescent="0.2">
      <c r="A784" s="9"/>
      <c r="B784" s="62"/>
      <c r="C784" s="50"/>
      <c r="D784" s="51"/>
      <c r="E784" s="9"/>
      <c r="F784" s="5"/>
      <c r="G784" s="5"/>
    </row>
    <row r="785" spans="1:7" s="56" customFormat="1" x14ac:dyDescent="0.2">
      <c r="A785" s="9"/>
      <c r="B785" s="62"/>
      <c r="C785" s="50"/>
      <c r="D785" s="51"/>
      <c r="E785" s="9"/>
      <c r="F785" s="5"/>
      <c r="G785" s="5"/>
    </row>
    <row r="786" spans="1:7" s="56" customFormat="1" x14ac:dyDescent="0.2">
      <c r="A786" s="9"/>
      <c r="B786" s="62"/>
      <c r="C786" s="50"/>
      <c r="D786" s="51"/>
      <c r="E786" s="9"/>
      <c r="F786" s="5"/>
      <c r="G786" s="5"/>
    </row>
    <row r="787" spans="1:7" s="56" customFormat="1" x14ac:dyDescent="0.2">
      <c r="A787" s="9"/>
      <c r="B787" s="62"/>
      <c r="C787" s="50"/>
      <c r="D787" s="51"/>
      <c r="E787" s="9"/>
      <c r="F787" s="5"/>
      <c r="G787" s="5"/>
    </row>
    <row r="788" spans="1:7" s="56" customFormat="1" x14ac:dyDescent="0.2">
      <c r="A788" s="9"/>
      <c r="B788" s="62"/>
      <c r="C788" s="50"/>
      <c r="D788" s="51"/>
      <c r="E788" s="9"/>
      <c r="F788" s="5"/>
      <c r="G788" s="5"/>
    </row>
    <row r="789" spans="1:7" s="56" customFormat="1" x14ac:dyDescent="0.2">
      <c r="A789" s="9"/>
      <c r="B789" s="62"/>
      <c r="C789" s="50"/>
      <c r="D789" s="51"/>
      <c r="E789" s="9"/>
      <c r="F789" s="5"/>
      <c r="G789" s="5"/>
    </row>
    <row r="790" spans="1:7" s="56" customFormat="1" x14ac:dyDescent="0.2">
      <c r="A790" s="9"/>
      <c r="B790" s="62"/>
      <c r="C790" s="50"/>
      <c r="D790" s="51"/>
      <c r="E790" s="9"/>
      <c r="F790" s="5"/>
      <c r="G790" s="5"/>
    </row>
    <row r="791" spans="1:7" s="56" customFormat="1" x14ac:dyDescent="0.2">
      <c r="A791" s="9"/>
      <c r="B791" s="62"/>
      <c r="C791" s="50"/>
      <c r="D791" s="51"/>
      <c r="E791" s="9"/>
      <c r="F791" s="5"/>
      <c r="G791" s="5"/>
    </row>
    <row r="792" spans="1:7" s="56" customFormat="1" x14ac:dyDescent="0.2">
      <c r="A792" s="9"/>
      <c r="B792" s="62"/>
      <c r="C792" s="50"/>
      <c r="D792" s="51"/>
      <c r="E792" s="9"/>
      <c r="F792" s="5"/>
      <c r="G792" s="5"/>
    </row>
    <row r="793" spans="1:7" s="56" customFormat="1" x14ac:dyDescent="0.2">
      <c r="A793" s="9"/>
      <c r="B793" s="62"/>
      <c r="C793" s="50"/>
      <c r="D793" s="51"/>
      <c r="E793" s="9"/>
      <c r="F793" s="5"/>
      <c r="G793" s="5"/>
    </row>
    <row r="794" spans="1:7" s="56" customFormat="1" x14ac:dyDescent="0.2">
      <c r="A794" s="9"/>
      <c r="B794" s="62"/>
      <c r="C794" s="50"/>
      <c r="D794" s="51"/>
      <c r="E794" s="9"/>
      <c r="F794" s="5"/>
      <c r="G794" s="5"/>
    </row>
    <row r="795" spans="1:7" s="56" customFormat="1" x14ac:dyDescent="0.2">
      <c r="A795" s="9"/>
      <c r="B795" s="62"/>
      <c r="C795" s="50"/>
      <c r="D795" s="51"/>
      <c r="E795" s="9"/>
      <c r="F795" s="5"/>
      <c r="G795" s="5"/>
    </row>
    <row r="796" spans="1:7" s="56" customFormat="1" x14ac:dyDescent="0.2">
      <c r="A796" s="9"/>
      <c r="B796" s="62"/>
      <c r="C796" s="50"/>
      <c r="D796" s="51"/>
      <c r="E796" s="9"/>
      <c r="F796" s="5"/>
      <c r="G796" s="5"/>
    </row>
    <row r="797" spans="1:7" s="56" customFormat="1" x14ac:dyDescent="0.2">
      <c r="A797" s="9"/>
      <c r="B797" s="62"/>
      <c r="C797" s="50"/>
      <c r="D797" s="51"/>
      <c r="E797" s="9"/>
      <c r="F797" s="5"/>
      <c r="G797" s="5"/>
    </row>
    <row r="798" spans="1:7" s="56" customFormat="1" x14ac:dyDescent="0.2">
      <c r="A798" s="9"/>
      <c r="B798" s="62"/>
      <c r="C798" s="50"/>
      <c r="D798" s="51"/>
      <c r="E798" s="9"/>
      <c r="F798" s="5"/>
      <c r="G798" s="5"/>
    </row>
    <row r="799" spans="1:7" s="56" customFormat="1" x14ac:dyDescent="0.2">
      <c r="A799" s="9"/>
      <c r="B799" s="62"/>
      <c r="C799" s="50"/>
      <c r="D799" s="51"/>
      <c r="E799" s="9"/>
      <c r="F799" s="5"/>
      <c r="G799" s="5"/>
    </row>
    <row r="800" spans="1:7" s="56" customFormat="1" x14ac:dyDescent="0.2">
      <c r="A800" s="9"/>
      <c r="B800" s="62"/>
      <c r="C800" s="50"/>
      <c r="D800" s="51"/>
      <c r="E800" s="9"/>
      <c r="F800" s="5"/>
      <c r="G800" s="5"/>
    </row>
    <row r="801" spans="1:7" s="56" customFormat="1" x14ac:dyDescent="0.2">
      <c r="A801" s="9"/>
      <c r="B801" s="62"/>
      <c r="C801" s="50"/>
      <c r="D801" s="51"/>
      <c r="E801" s="9"/>
      <c r="F801" s="5"/>
      <c r="G801" s="5"/>
    </row>
    <row r="802" spans="1:7" s="56" customFormat="1" x14ac:dyDescent="0.2">
      <c r="A802" s="9"/>
      <c r="B802" s="62"/>
      <c r="C802" s="50"/>
      <c r="D802" s="51"/>
      <c r="E802" s="9"/>
      <c r="F802" s="5"/>
      <c r="G802" s="5"/>
    </row>
    <row r="803" spans="1:7" s="56" customFormat="1" x14ac:dyDescent="0.2">
      <c r="A803" s="9"/>
      <c r="B803" s="62"/>
      <c r="C803" s="50"/>
      <c r="D803" s="51"/>
      <c r="E803" s="9"/>
      <c r="F803" s="5"/>
      <c r="G803" s="5"/>
    </row>
    <row r="804" spans="1:7" s="56" customFormat="1" x14ac:dyDescent="0.2">
      <c r="A804" s="9"/>
      <c r="B804" s="62"/>
      <c r="C804" s="50"/>
      <c r="D804" s="51"/>
      <c r="E804" s="9"/>
      <c r="F804" s="5"/>
      <c r="G804" s="5"/>
    </row>
    <row r="805" spans="1:7" s="56" customFormat="1" x14ac:dyDescent="0.2">
      <c r="A805" s="9"/>
      <c r="B805" s="62"/>
      <c r="C805" s="50"/>
      <c r="D805" s="51"/>
      <c r="E805" s="9"/>
      <c r="F805" s="5"/>
      <c r="G805" s="5"/>
    </row>
    <row r="806" spans="1:7" s="56" customFormat="1" x14ac:dyDescent="0.2">
      <c r="A806" s="9"/>
      <c r="B806" s="62"/>
      <c r="C806" s="50"/>
      <c r="D806" s="51"/>
      <c r="E806" s="9"/>
      <c r="F806" s="5"/>
      <c r="G806" s="5"/>
    </row>
    <row r="807" spans="1:7" s="56" customFormat="1" x14ac:dyDescent="0.2">
      <c r="A807" s="9"/>
      <c r="B807" s="62"/>
      <c r="C807" s="50"/>
      <c r="D807" s="51"/>
      <c r="E807" s="9"/>
      <c r="F807" s="5"/>
      <c r="G807" s="5"/>
    </row>
    <row r="808" spans="1:7" s="56" customFormat="1" x14ac:dyDescent="0.2">
      <c r="A808" s="9"/>
      <c r="B808" s="62"/>
      <c r="C808" s="50"/>
      <c r="D808" s="51"/>
      <c r="E808" s="9"/>
      <c r="F808" s="5"/>
      <c r="G808" s="5"/>
    </row>
    <row r="809" spans="1:7" s="56" customFormat="1" x14ac:dyDescent="0.2">
      <c r="A809" s="9"/>
      <c r="B809" s="62"/>
      <c r="C809" s="50"/>
      <c r="D809" s="51"/>
      <c r="E809" s="9"/>
      <c r="F809" s="5"/>
      <c r="G809" s="5"/>
    </row>
    <row r="810" spans="1:7" s="56" customFormat="1" x14ac:dyDescent="0.2">
      <c r="A810" s="9"/>
      <c r="B810" s="62"/>
      <c r="C810" s="50"/>
      <c r="D810" s="51"/>
      <c r="E810" s="9"/>
      <c r="F810" s="5"/>
      <c r="G810" s="5"/>
    </row>
    <row r="811" spans="1:7" s="56" customFormat="1" x14ac:dyDescent="0.2">
      <c r="A811" s="9"/>
      <c r="B811" s="62"/>
      <c r="C811" s="50"/>
      <c r="D811" s="51"/>
      <c r="E811" s="9"/>
      <c r="F811" s="5"/>
      <c r="G811" s="5"/>
    </row>
    <row r="812" spans="1:7" s="56" customFormat="1" x14ac:dyDescent="0.2">
      <c r="A812" s="9"/>
      <c r="B812" s="62"/>
      <c r="C812" s="50"/>
      <c r="D812" s="51"/>
      <c r="E812" s="9"/>
      <c r="F812" s="5"/>
      <c r="G812" s="5"/>
    </row>
    <row r="813" spans="1:7" s="56" customFormat="1" x14ac:dyDescent="0.2">
      <c r="A813" s="9"/>
      <c r="B813" s="62"/>
      <c r="C813" s="50"/>
      <c r="D813" s="51"/>
      <c r="E813" s="9"/>
      <c r="F813" s="5"/>
      <c r="G813" s="5"/>
    </row>
    <row r="814" spans="1:7" s="56" customFormat="1" x14ac:dyDescent="0.2">
      <c r="A814" s="9"/>
      <c r="B814" s="62"/>
      <c r="C814" s="50"/>
      <c r="D814" s="51"/>
      <c r="E814" s="9"/>
      <c r="F814" s="5"/>
      <c r="G814" s="5"/>
    </row>
    <row r="815" spans="1:7" s="56" customFormat="1" x14ac:dyDescent="0.2">
      <c r="A815" s="9"/>
      <c r="B815" s="62"/>
      <c r="C815" s="50"/>
      <c r="D815" s="51"/>
      <c r="E815" s="9"/>
      <c r="F815" s="5"/>
      <c r="G815" s="5"/>
    </row>
    <row r="816" spans="1:7" s="56" customFormat="1" x14ac:dyDescent="0.2">
      <c r="A816" s="9"/>
      <c r="B816" s="62"/>
      <c r="C816" s="50"/>
      <c r="D816" s="51"/>
      <c r="E816" s="9"/>
      <c r="F816" s="5"/>
      <c r="G816" s="5"/>
    </row>
    <row r="817" spans="1:7" s="56" customFormat="1" x14ac:dyDescent="0.2">
      <c r="A817" s="9"/>
      <c r="B817" s="62"/>
      <c r="C817" s="50"/>
      <c r="D817" s="51"/>
      <c r="E817" s="9"/>
      <c r="F817" s="5"/>
      <c r="G817" s="5"/>
    </row>
    <row r="818" spans="1:7" s="56" customFormat="1" x14ac:dyDescent="0.2">
      <c r="A818" s="9"/>
      <c r="B818" s="62"/>
      <c r="C818" s="50"/>
      <c r="D818" s="51"/>
      <c r="E818" s="9"/>
      <c r="F818" s="5"/>
      <c r="G818" s="5"/>
    </row>
    <row r="819" spans="1:7" s="56" customFormat="1" x14ac:dyDescent="0.2">
      <c r="A819" s="9"/>
      <c r="B819" s="62"/>
      <c r="C819" s="50"/>
      <c r="D819" s="51"/>
      <c r="E819" s="9"/>
      <c r="F819" s="5"/>
      <c r="G819" s="5"/>
    </row>
    <row r="820" spans="1:7" s="56" customFormat="1" x14ac:dyDescent="0.2">
      <c r="A820" s="9"/>
      <c r="B820" s="62"/>
      <c r="C820" s="50"/>
      <c r="D820" s="51"/>
      <c r="E820" s="9"/>
      <c r="F820" s="5"/>
      <c r="G820" s="5"/>
    </row>
    <row r="821" spans="1:7" s="56" customFormat="1" x14ac:dyDescent="0.2">
      <c r="A821" s="9"/>
      <c r="B821" s="62"/>
      <c r="C821" s="50"/>
      <c r="D821" s="51"/>
      <c r="E821" s="9"/>
      <c r="F821" s="5"/>
      <c r="G821" s="5"/>
    </row>
    <row r="822" spans="1:7" s="56" customFormat="1" x14ac:dyDescent="0.2">
      <c r="A822" s="9"/>
      <c r="B822" s="62"/>
      <c r="C822" s="50"/>
      <c r="D822" s="51"/>
      <c r="E822" s="9"/>
      <c r="F822" s="5"/>
      <c r="G822" s="5"/>
    </row>
    <row r="823" spans="1:7" s="56" customFormat="1" x14ac:dyDescent="0.2">
      <c r="A823" s="9"/>
      <c r="B823" s="62"/>
      <c r="C823" s="50"/>
      <c r="D823" s="51"/>
      <c r="E823" s="9"/>
      <c r="F823" s="5"/>
      <c r="G823" s="5"/>
    </row>
    <row r="824" spans="1:7" s="56" customFormat="1" x14ac:dyDescent="0.2">
      <c r="A824" s="9"/>
      <c r="B824" s="62"/>
      <c r="C824" s="50"/>
      <c r="D824" s="51"/>
      <c r="E824" s="9"/>
      <c r="F824" s="5"/>
      <c r="G824" s="5"/>
    </row>
    <row r="825" spans="1:7" s="56" customFormat="1" x14ac:dyDescent="0.2">
      <c r="A825" s="9"/>
      <c r="B825" s="62"/>
      <c r="C825" s="50"/>
      <c r="D825" s="51"/>
      <c r="E825" s="9"/>
      <c r="F825" s="5"/>
      <c r="G825" s="5"/>
    </row>
    <row r="826" spans="1:7" s="56" customFormat="1" x14ac:dyDescent="0.2">
      <c r="A826" s="9"/>
      <c r="B826" s="62"/>
      <c r="C826" s="50"/>
      <c r="D826" s="51"/>
      <c r="E826" s="9"/>
      <c r="F826" s="5"/>
      <c r="G826" s="5"/>
    </row>
    <row r="827" spans="1:7" s="56" customFormat="1" x14ac:dyDescent="0.2">
      <c r="A827" s="9"/>
      <c r="B827" s="62"/>
      <c r="C827" s="50"/>
      <c r="D827" s="51"/>
      <c r="E827" s="9"/>
      <c r="F827" s="5"/>
      <c r="G827" s="5"/>
    </row>
    <row r="828" spans="1:7" s="56" customFormat="1" x14ac:dyDescent="0.2">
      <c r="A828" s="9"/>
      <c r="B828" s="62"/>
      <c r="C828" s="50"/>
      <c r="D828" s="51"/>
      <c r="E828" s="9"/>
      <c r="F828" s="5"/>
      <c r="G828" s="5"/>
    </row>
    <row r="829" spans="1:7" s="56" customFormat="1" x14ac:dyDescent="0.2">
      <c r="A829" s="9"/>
      <c r="B829" s="62"/>
      <c r="C829" s="50"/>
      <c r="D829" s="51"/>
      <c r="E829" s="9"/>
      <c r="F829" s="5"/>
      <c r="G829" s="5"/>
    </row>
    <row r="830" spans="1:7" s="56" customFormat="1" x14ac:dyDescent="0.2">
      <c r="A830" s="9"/>
      <c r="B830" s="62"/>
      <c r="C830" s="50"/>
      <c r="D830" s="51"/>
      <c r="E830" s="9"/>
      <c r="F830" s="5"/>
      <c r="G830" s="5"/>
    </row>
    <row r="831" spans="1:7" s="56" customFormat="1" x14ac:dyDescent="0.2">
      <c r="A831" s="9"/>
      <c r="B831" s="62"/>
      <c r="C831" s="50"/>
      <c r="D831" s="51"/>
      <c r="E831" s="9"/>
      <c r="F831" s="5"/>
      <c r="G831" s="5"/>
    </row>
    <row r="832" spans="1:7" s="56" customFormat="1" x14ac:dyDescent="0.2">
      <c r="A832" s="9"/>
      <c r="B832" s="62"/>
      <c r="C832" s="50"/>
      <c r="D832" s="51"/>
      <c r="E832" s="9"/>
      <c r="F832" s="5"/>
      <c r="G832" s="5"/>
    </row>
    <row r="833" spans="1:7" s="56" customFormat="1" x14ac:dyDescent="0.2">
      <c r="A833" s="9"/>
      <c r="B833" s="62"/>
      <c r="C833" s="50"/>
      <c r="D833" s="51"/>
      <c r="E833" s="9"/>
      <c r="F833" s="5"/>
      <c r="G833" s="5"/>
    </row>
    <row r="834" spans="1:7" s="56" customFormat="1" x14ac:dyDescent="0.2">
      <c r="A834" s="9"/>
      <c r="B834" s="62"/>
      <c r="C834" s="50"/>
      <c r="D834" s="51"/>
      <c r="E834" s="9"/>
      <c r="F834" s="5"/>
      <c r="G834" s="5"/>
    </row>
    <row r="835" spans="1:7" s="56" customFormat="1" x14ac:dyDescent="0.2">
      <c r="A835" s="9"/>
      <c r="B835" s="62"/>
      <c r="C835" s="50"/>
      <c r="D835" s="51"/>
      <c r="E835" s="9"/>
      <c r="F835" s="5"/>
      <c r="G835" s="5"/>
    </row>
    <row r="836" spans="1:7" s="56" customFormat="1" x14ac:dyDescent="0.2">
      <c r="A836" s="9"/>
      <c r="B836" s="62"/>
      <c r="C836" s="50"/>
      <c r="D836" s="51"/>
      <c r="E836" s="9"/>
      <c r="F836" s="5"/>
      <c r="G836" s="5"/>
    </row>
    <row r="837" spans="1:7" s="56" customFormat="1" x14ac:dyDescent="0.2">
      <c r="A837" s="9"/>
      <c r="B837" s="62"/>
      <c r="C837" s="50"/>
      <c r="D837" s="51"/>
      <c r="E837" s="9"/>
      <c r="F837" s="5"/>
      <c r="G837" s="5"/>
    </row>
    <row r="838" spans="1:7" s="56" customFormat="1" x14ac:dyDescent="0.2">
      <c r="A838" s="9"/>
      <c r="B838" s="62"/>
      <c r="C838" s="50"/>
      <c r="D838" s="51"/>
      <c r="E838" s="9"/>
      <c r="F838" s="5"/>
      <c r="G838" s="5"/>
    </row>
    <row r="839" spans="1:7" s="56" customFormat="1" x14ac:dyDescent="0.2">
      <c r="A839" s="9"/>
      <c r="B839" s="62"/>
      <c r="C839" s="50"/>
      <c r="D839" s="51"/>
      <c r="E839" s="9"/>
      <c r="F839" s="5"/>
      <c r="G839" s="5"/>
    </row>
    <row r="840" spans="1:7" s="56" customFormat="1" x14ac:dyDescent="0.2">
      <c r="A840" s="9"/>
      <c r="B840" s="62"/>
      <c r="C840" s="50"/>
      <c r="D840" s="51"/>
      <c r="E840" s="9"/>
      <c r="F840" s="5"/>
      <c r="G840" s="5"/>
    </row>
    <row r="841" spans="1:7" s="56" customFormat="1" x14ac:dyDescent="0.2">
      <c r="A841" s="9"/>
      <c r="B841" s="62"/>
      <c r="C841" s="50"/>
      <c r="D841" s="51"/>
      <c r="E841" s="9"/>
      <c r="F841" s="5"/>
      <c r="G841" s="5"/>
    </row>
    <row r="842" spans="1:7" s="56" customFormat="1" x14ac:dyDescent="0.2">
      <c r="A842" s="9"/>
      <c r="B842" s="62"/>
      <c r="C842" s="50"/>
      <c r="D842" s="51"/>
      <c r="E842" s="9"/>
      <c r="F842" s="5"/>
      <c r="G842" s="5"/>
    </row>
    <row r="843" spans="1:7" s="56" customFormat="1" x14ac:dyDescent="0.2">
      <c r="A843" s="9"/>
      <c r="B843" s="62"/>
      <c r="C843" s="50"/>
      <c r="D843" s="51"/>
      <c r="E843" s="9"/>
      <c r="F843" s="5"/>
      <c r="G843" s="5"/>
    </row>
    <row r="844" spans="1:7" s="56" customFormat="1" x14ac:dyDescent="0.2">
      <c r="A844" s="9"/>
      <c r="B844" s="62"/>
      <c r="C844" s="50"/>
      <c r="D844" s="51"/>
      <c r="E844" s="9"/>
      <c r="F844" s="5"/>
      <c r="G844" s="5"/>
    </row>
    <row r="845" spans="1:7" s="56" customFormat="1" x14ac:dyDescent="0.2">
      <c r="A845" s="9"/>
      <c r="B845" s="62"/>
      <c r="C845" s="50"/>
      <c r="D845" s="51"/>
      <c r="E845" s="9"/>
      <c r="F845" s="5"/>
      <c r="G845" s="5"/>
    </row>
    <row r="846" spans="1:7" s="56" customFormat="1" x14ac:dyDescent="0.2">
      <c r="A846" s="9"/>
      <c r="B846" s="62"/>
      <c r="C846" s="50"/>
      <c r="D846" s="51"/>
      <c r="E846" s="9"/>
      <c r="F846" s="5"/>
      <c r="G846" s="5"/>
    </row>
    <row r="847" spans="1:7" s="56" customFormat="1" x14ac:dyDescent="0.2">
      <c r="A847" s="9"/>
      <c r="B847" s="62"/>
      <c r="C847" s="50"/>
      <c r="D847" s="51"/>
      <c r="E847" s="9"/>
      <c r="F847" s="5"/>
      <c r="G847" s="5"/>
    </row>
    <row r="848" spans="1:7" s="56" customFormat="1" x14ac:dyDescent="0.2">
      <c r="A848" s="9"/>
      <c r="B848" s="62"/>
      <c r="C848" s="50"/>
      <c r="D848" s="51"/>
      <c r="E848" s="9"/>
      <c r="F848" s="5"/>
      <c r="G848" s="5"/>
    </row>
    <row r="849" spans="1:7" s="56" customFormat="1" x14ac:dyDescent="0.2">
      <c r="A849" s="9"/>
      <c r="B849" s="62"/>
      <c r="C849" s="50"/>
      <c r="D849" s="51"/>
      <c r="E849" s="9"/>
      <c r="F849" s="5"/>
      <c r="G849" s="5"/>
    </row>
    <row r="850" spans="1:7" s="56" customFormat="1" x14ac:dyDescent="0.2">
      <c r="A850" s="9"/>
      <c r="B850" s="62"/>
      <c r="C850" s="50"/>
      <c r="D850" s="51"/>
      <c r="E850" s="9"/>
      <c r="F850" s="5"/>
      <c r="G850" s="5"/>
    </row>
    <row r="851" spans="1:7" s="56" customFormat="1" x14ac:dyDescent="0.2">
      <c r="A851" s="9"/>
      <c r="B851" s="62"/>
      <c r="C851" s="50"/>
      <c r="D851" s="51"/>
      <c r="E851" s="9"/>
      <c r="F851" s="5"/>
      <c r="G851" s="5"/>
    </row>
    <row r="852" spans="1:7" s="56" customFormat="1" x14ac:dyDescent="0.2">
      <c r="A852" s="9"/>
      <c r="B852" s="62"/>
      <c r="C852" s="50"/>
      <c r="D852" s="51"/>
      <c r="E852" s="9"/>
      <c r="F852" s="5"/>
      <c r="G852" s="5"/>
    </row>
    <row r="853" spans="1:7" s="56" customFormat="1" x14ac:dyDescent="0.2">
      <c r="A853" s="9"/>
      <c r="B853" s="62"/>
      <c r="C853" s="50"/>
      <c r="D853" s="51"/>
      <c r="E853" s="9"/>
      <c r="F853" s="5"/>
      <c r="G853" s="5"/>
    </row>
    <row r="854" spans="1:7" s="56" customFormat="1" x14ac:dyDescent="0.2">
      <c r="A854" s="9"/>
      <c r="B854" s="62"/>
      <c r="C854" s="50"/>
      <c r="D854" s="51"/>
      <c r="E854" s="9"/>
      <c r="F854" s="5"/>
      <c r="G854" s="5"/>
    </row>
    <row r="855" spans="1:7" s="56" customFormat="1" x14ac:dyDescent="0.2">
      <c r="A855" s="9"/>
      <c r="B855" s="62"/>
      <c r="C855" s="50"/>
      <c r="D855" s="51"/>
      <c r="E855" s="9"/>
      <c r="F855" s="5"/>
      <c r="G855" s="5"/>
    </row>
    <row r="856" spans="1:7" s="56" customFormat="1" x14ac:dyDescent="0.2">
      <c r="A856" s="9"/>
      <c r="B856" s="62"/>
      <c r="C856" s="50"/>
      <c r="D856" s="51"/>
      <c r="E856" s="9"/>
      <c r="F856" s="5"/>
      <c r="G856" s="5"/>
    </row>
    <row r="857" spans="1:7" s="56" customFormat="1" x14ac:dyDescent="0.2">
      <c r="A857" s="9"/>
      <c r="B857" s="62"/>
      <c r="C857" s="50"/>
      <c r="D857" s="51"/>
      <c r="E857" s="9"/>
      <c r="F857" s="5"/>
      <c r="G857" s="5"/>
    </row>
    <row r="858" spans="1:7" s="56" customFormat="1" x14ac:dyDescent="0.2">
      <c r="A858" s="9"/>
      <c r="B858" s="62"/>
      <c r="C858" s="50"/>
      <c r="D858" s="51"/>
      <c r="E858" s="9"/>
      <c r="F858" s="5"/>
      <c r="G858" s="5"/>
    </row>
    <row r="859" spans="1:7" s="56" customFormat="1" x14ac:dyDescent="0.2">
      <c r="A859" s="9"/>
      <c r="B859" s="62"/>
      <c r="C859" s="50"/>
      <c r="D859" s="51"/>
      <c r="E859" s="9"/>
      <c r="F859" s="5"/>
      <c r="G859" s="5"/>
    </row>
    <row r="860" spans="1:7" s="56" customFormat="1" x14ac:dyDescent="0.2">
      <c r="A860" s="9"/>
      <c r="B860" s="62"/>
      <c r="C860" s="50"/>
      <c r="D860" s="51"/>
      <c r="E860" s="9"/>
      <c r="F860" s="5"/>
      <c r="G860" s="5"/>
    </row>
    <row r="861" spans="1:7" s="56" customFormat="1" x14ac:dyDescent="0.2">
      <c r="A861" s="9"/>
      <c r="B861" s="62"/>
      <c r="C861" s="50"/>
      <c r="D861" s="51"/>
      <c r="E861" s="9"/>
      <c r="F861" s="5"/>
      <c r="G861" s="5"/>
    </row>
    <row r="862" spans="1:7" s="56" customFormat="1" x14ac:dyDescent="0.2">
      <c r="A862" s="9"/>
      <c r="B862" s="62"/>
      <c r="C862" s="50"/>
      <c r="D862" s="51"/>
      <c r="E862" s="9"/>
      <c r="F862" s="5"/>
      <c r="G862" s="5"/>
    </row>
    <row r="863" spans="1:7" s="56" customFormat="1" x14ac:dyDescent="0.2">
      <c r="A863" s="9"/>
      <c r="B863" s="62"/>
      <c r="C863" s="50"/>
      <c r="D863" s="51"/>
      <c r="E863" s="9"/>
      <c r="F863" s="5"/>
      <c r="G863" s="5"/>
    </row>
    <row r="864" spans="1:7" s="56" customFormat="1" x14ac:dyDescent="0.2">
      <c r="A864" s="9"/>
      <c r="B864" s="62"/>
      <c r="C864" s="50"/>
      <c r="D864" s="51"/>
      <c r="E864" s="9"/>
      <c r="F864" s="5"/>
      <c r="G864" s="5"/>
    </row>
    <row r="865" spans="1:7" s="56" customFormat="1" x14ac:dyDescent="0.2">
      <c r="A865" s="9"/>
      <c r="B865" s="62"/>
      <c r="C865" s="50"/>
      <c r="D865" s="51"/>
      <c r="E865" s="9"/>
      <c r="F865" s="5"/>
      <c r="G865" s="5"/>
    </row>
    <row r="866" spans="1:7" s="56" customFormat="1" x14ac:dyDescent="0.2">
      <c r="A866" s="9"/>
      <c r="B866" s="62"/>
      <c r="C866" s="50"/>
      <c r="D866" s="51"/>
      <c r="E866" s="9"/>
      <c r="F866" s="5"/>
      <c r="G866" s="5"/>
    </row>
    <row r="867" spans="1:7" s="56" customFormat="1" x14ac:dyDescent="0.2">
      <c r="A867" s="9"/>
      <c r="B867" s="62"/>
      <c r="C867" s="50"/>
      <c r="D867" s="51"/>
      <c r="E867" s="9"/>
      <c r="F867" s="5"/>
      <c r="G867" s="5"/>
    </row>
    <row r="868" spans="1:7" s="56" customFormat="1" x14ac:dyDescent="0.2">
      <c r="A868" s="9"/>
      <c r="B868" s="62"/>
      <c r="C868" s="50"/>
      <c r="D868" s="51"/>
      <c r="E868" s="9"/>
      <c r="F868" s="5"/>
      <c r="G868" s="5"/>
    </row>
    <row r="869" spans="1:7" s="56" customFormat="1" x14ac:dyDescent="0.2">
      <c r="A869" s="9"/>
      <c r="B869" s="62"/>
      <c r="C869" s="50"/>
      <c r="D869" s="51"/>
      <c r="E869" s="9"/>
      <c r="F869" s="5"/>
      <c r="G869" s="5"/>
    </row>
    <row r="870" spans="1:7" s="56" customFormat="1" x14ac:dyDescent="0.2">
      <c r="A870" s="9"/>
      <c r="B870" s="62"/>
      <c r="C870" s="50"/>
      <c r="D870" s="51"/>
      <c r="E870" s="9"/>
      <c r="F870" s="5"/>
      <c r="G870" s="5"/>
    </row>
    <row r="871" spans="1:7" s="56" customFormat="1" x14ac:dyDescent="0.2">
      <c r="A871" s="9"/>
      <c r="B871" s="62"/>
      <c r="C871" s="50"/>
      <c r="D871" s="51"/>
      <c r="E871" s="9"/>
      <c r="F871" s="5"/>
      <c r="G871" s="5"/>
    </row>
    <row r="872" spans="1:7" s="56" customFormat="1" x14ac:dyDescent="0.2">
      <c r="A872" s="9"/>
      <c r="B872" s="62"/>
      <c r="C872" s="50"/>
      <c r="D872" s="51"/>
      <c r="E872" s="9"/>
      <c r="F872" s="5"/>
      <c r="G872" s="5"/>
    </row>
    <row r="873" spans="1:7" s="56" customFormat="1" x14ac:dyDescent="0.2">
      <c r="A873" s="9"/>
      <c r="B873" s="62"/>
      <c r="C873" s="50"/>
      <c r="D873" s="51"/>
      <c r="E873" s="9"/>
      <c r="F873" s="5"/>
      <c r="G873" s="5"/>
    </row>
    <row r="874" spans="1:7" s="56" customFormat="1" x14ac:dyDescent="0.2">
      <c r="A874" s="9"/>
      <c r="B874" s="62"/>
      <c r="C874" s="50"/>
      <c r="D874" s="51"/>
      <c r="E874" s="9"/>
      <c r="F874" s="5"/>
      <c r="G874" s="5"/>
    </row>
    <row r="875" spans="1:7" s="56" customFormat="1" x14ac:dyDescent="0.2">
      <c r="A875" s="9"/>
      <c r="B875" s="62"/>
      <c r="C875" s="50"/>
      <c r="D875" s="51"/>
      <c r="E875" s="9"/>
      <c r="F875" s="5"/>
      <c r="G875" s="5"/>
    </row>
    <row r="876" spans="1:7" s="56" customFormat="1" x14ac:dyDescent="0.2">
      <c r="A876" s="9"/>
      <c r="B876" s="62"/>
      <c r="C876" s="50"/>
      <c r="D876" s="51"/>
      <c r="E876" s="9"/>
      <c r="F876" s="5"/>
      <c r="G876" s="5"/>
    </row>
    <row r="877" spans="1:7" s="56" customFormat="1" x14ac:dyDescent="0.2">
      <c r="A877" s="9"/>
      <c r="B877" s="62"/>
      <c r="C877" s="50"/>
      <c r="D877" s="51"/>
      <c r="E877" s="9"/>
      <c r="F877" s="5"/>
      <c r="G877" s="5"/>
    </row>
    <row r="878" spans="1:7" s="56" customFormat="1" x14ac:dyDescent="0.2">
      <c r="A878" s="9"/>
      <c r="B878" s="62"/>
      <c r="C878" s="50"/>
      <c r="D878" s="51"/>
      <c r="E878" s="9"/>
      <c r="F878" s="5"/>
      <c r="G878" s="5"/>
    </row>
    <row r="879" spans="1:7" s="56" customFormat="1" x14ac:dyDescent="0.2">
      <c r="A879" s="9"/>
      <c r="B879" s="62"/>
      <c r="C879" s="50"/>
      <c r="D879" s="51"/>
      <c r="E879" s="9"/>
      <c r="F879" s="5"/>
      <c r="G879" s="5"/>
    </row>
    <row r="880" spans="1:7" s="56" customFormat="1" x14ac:dyDescent="0.2">
      <c r="A880" s="9"/>
      <c r="B880" s="62"/>
      <c r="C880" s="50"/>
      <c r="D880" s="51"/>
      <c r="E880" s="9"/>
      <c r="F880" s="5"/>
      <c r="G880" s="5"/>
    </row>
    <row r="881" spans="1:7" s="56" customFormat="1" x14ac:dyDescent="0.2">
      <c r="A881" s="9"/>
      <c r="B881" s="62"/>
      <c r="C881" s="50"/>
      <c r="D881" s="51"/>
      <c r="E881" s="9"/>
      <c r="F881" s="5"/>
      <c r="G881" s="5"/>
    </row>
    <row r="882" spans="1:7" s="56" customFormat="1" x14ac:dyDescent="0.2">
      <c r="A882" s="9"/>
      <c r="B882" s="62"/>
      <c r="C882" s="50"/>
      <c r="D882" s="51"/>
      <c r="E882" s="9"/>
      <c r="F882" s="5"/>
      <c r="G882" s="5"/>
    </row>
    <row r="883" spans="1:7" s="56" customFormat="1" x14ac:dyDescent="0.2">
      <c r="A883" s="9"/>
      <c r="B883" s="62"/>
      <c r="C883" s="50"/>
      <c r="D883" s="51"/>
      <c r="E883" s="9"/>
      <c r="F883" s="5"/>
      <c r="G883" s="5"/>
    </row>
    <row r="884" spans="1:7" s="56" customFormat="1" x14ac:dyDescent="0.2">
      <c r="A884" s="9"/>
      <c r="B884" s="62"/>
      <c r="C884" s="50"/>
      <c r="D884" s="51"/>
      <c r="E884" s="9"/>
      <c r="F884" s="5"/>
      <c r="G884" s="5"/>
    </row>
    <row r="885" spans="1:7" s="56" customFormat="1" x14ac:dyDescent="0.2">
      <c r="A885" s="9"/>
      <c r="B885" s="62"/>
      <c r="C885" s="50"/>
      <c r="D885" s="51"/>
      <c r="E885" s="9"/>
      <c r="F885" s="5"/>
      <c r="G885" s="5"/>
    </row>
    <row r="886" spans="1:7" s="56" customFormat="1" x14ac:dyDescent="0.2">
      <c r="A886" s="9"/>
      <c r="B886" s="62"/>
      <c r="C886" s="50"/>
      <c r="D886" s="51"/>
      <c r="E886" s="9"/>
      <c r="F886" s="5"/>
      <c r="G886" s="5"/>
    </row>
    <row r="887" spans="1:7" s="56" customFormat="1" x14ac:dyDescent="0.2">
      <c r="A887" s="9"/>
      <c r="B887" s="62"/>
      <c r="C887" s="50"/>
      <c r="D887" s="51"/>
      <c r="E887" s="9"/>
      <c r="F887" s="5"/>
      <c r="G887" s="5"/>
    </row>
    <row r="888" spans="1:7" s="56" customFormat="1" x14ac:dyDescent="0.2">
      <c r="A888" s="9"/>
      <c r="B888" s="62"/>
      <c r="C888" s="50"/>
      <c r="D888" s="51"/>
      <c r="E888" s="9"/>
      <c r="F888" s="5"/>
      <c r="G888" s="5"/>
    </row>
    <row r="889" spans="1:7" s="56" customFormat="1" x14ac:dyDescent="0.2">
      <c r="A889" s="9"/>
      <c r="B889" s="62"/>
      <c r="C889" s="50"/>
      <c r="D889" s="51"/>
      <c r="E889" s="9"/>
      <c r="F889" s="5"/>
      <c r="G889" s="5"/>
    </row>
    <row r="890" spans="1:7" s="56" customFormat="1" x14ac:dyDescent="0.2">
      <c r="A890" s="9"/>
      <c r="B890" s="62"/>
      <c r="C890" s="50"/>
      <c r="D890" s="51"/>
      <c r="E890" s="9"/>
      <c r="F890" s="5"/>
      <c r="G890" s="5"/>
    </row>
    <row r="891" spans="1:7" s="56" customFormat="1" x14ac:dyDescent="0.2">
      <c r="A891" s="9"/>
      <c r="B891" s="62"/>
      <c r="C891" s="50"/>
      <c r="D891" s="51"/>
      <c r="E891" s="9"/>
      <c r="F891" s="5"/>
      <c r="G891" s="5"/>
    </row>
    <row r="892" spans="1:7" s="56" customFormat="1" x14ac:dyDescent="0.2">
      <c r="A892" s="9"/>
      <c r="B892" s="62"/>
      <c r="C892" s="50"/>
      <c r="D892" s="51"/>
      <c r="E892" s="9"/>
      <c r="F892" s="5"/>
      <c r="G892" s="5"/>
    </row>
    <row r="893" spans="1:7" s="56" customFormat="1" x14ac:dyDescent="0.2">
      <c r="A893" s="9"/>
      <c r="B893" s="62"/>
      <c r="C893" s="50"/>
      <c r="D893" s="51"/>
      <c r="E893" s="9"/>
      <c r="F893" s="5"/>
      <c r="G893" s="5"/>
    </row>
    <row r="894" spans="1:7" s="56" customFormat="1" x14ac:dyDescent="0.2">
      <c r="A894" s="9"/>
      <c r="B894" s="62"/>
      <c r="C894" s="50"/>
      <c r="D894" s="51"/>
      <c r="E894" s="9"/>
      <c r="F894" s="5"/>
      <c r="G894" s="5"/>
    </row>
    <row r="895" spans="1:7" s="56" customFormat="1" x14ac:dyDescent="0.2">
      <c r="A895" s="9"/>
      <c r="B895" s="62"/>
      <c r="C895" s="50"/>
      <c r="D895" s="51"/>
      <c r="E895" s="9"/>
      <c r="F895" s="5"/>
      <c r="G895" s="5"/>
    </row>
    <row r="896" spans="1:7" s="56" customFormat="1" x14ac:dyDescent="0.2">
      <c r="A896" s="9"/>
      <c r="B896" s="62"/>
      <c r="C896" s="50"/>
      <c r="D896" s="51"/>
      <c r="E896" s="9"/>
      <c r="F896" s="5"/>
      <c r="G896" s="5"/>
    </row>
    <row r="897" spans="1:7" s="56" customFormat="1" x14ac:dyDescent="0.2">
      <c r="A897" s="9"/>
      <c r="B897" s="62"/>
      <c r="C897" s="50"/>
      <c r="D897" s="51"/>
      <c r="E897" s="9"/>
      <c r="F897" s="5"/>
      <c r="G897" s="5"/>
    </row>
    <row r="898" spans="1:7" s="56" customFormat="1" x14ac:dyDescent="0.2">
      <c r="A898" s="9"/>
      <c r="B898" s="62"/>
      <c r="C898" s="50"/>
      <c r="D898" s="51"/>
      <c r="E898" s="9"/>
      <c r="F898" s="5"/>
      <c r="G898" s="5"/>
    </row>
    <row r="899" spans="1:7" s="56" customFormat="1" x14ac:dyDescent="0.2">
      <c r="A899" s="9"/>
      <c r="B899" s="62"/>
      <c r="C899" s="50"/>
      <c r="D899" s="51"/>
      <c r="E899" s="9"/>
      <c r="F899" s="5"/>
      <c r="G899" s="5"/>
    </row>
    <row r="900" spans="1:7" s="56" customFormat="1" x14ac:dyDescent="0.2">
      <c r="A900" s="9"/>
      <c r="B900" s="62"/>
      <c r="C900" s="50"/>
      <c r="D900" s="51"/>
      <c r="E900" s="9"/>
      <c r="F900" s="5"/>
      <c r="G900" s="5"/>
    </row>
    <row r="901" spans="1:7" s="56" customFormat="1" x14ac:dyDescent="0.2">
      <c r="A901" s="9"/>
      <c r="B901" s="62"/>
      <c r="C901" s="50"/>
      <c r="D901" s="51"/>
      <c r="E901" s="9"/>
      <c r="F901" s="5"/>
      <c r="G901" s="5"/>
    </row>
    <row r="902" spans="1:7" s="56" customFormat="1" x14ac:dyDescent="0.2">
      <c r="A902" s="9"/>
      <c r="B902" s="62"/>
      <c r="C902" s="50"/>
      <c r="D902" s="51"/>
      <c r="E902" s="9"/>
      <c r="F902" s="5"/>
      <c r="G902" s="5"/>
    </row>
    <row r="903" spans="1:7" s="56" customFormat="1" x14ac:dyDescent="0.2">
      <c r="A903" s="9"/>
      <c r="B903" s="62"/>
      <c r="C903" s="50"/>
      <c r="D903" s="51"/>
      <c r="E903" s="9"/>
      <c r="F903" s="5"/>
      <c r="G903" s="5"/>
    </row>
    <row r="904" spans="1:7" s="56" customFormat="1" x14ac:dyDescent="0.2">
      <c r="A904" s="9"/>
      <c r="B904" s="62"/>
      <c r="C904" s="50"/>
      <c r="D904" s="51"/>
      <c r="E904" s="9"/>
      <c r="F904" s="5"/>
      <c r="G904" s="5"/>
    </row>
    <row r="905" spans="1:7" s="56" customFormat="1" x14ac:dyDescent="0.2">
      <c r="A905" s="9"/>
      <c r="B905" s="62"/>
      <c r="C905" s="50"/>
      <c r="D905" s="51"/>
      <c r="E905" s="9"/>
      <c r="F905" s="5"/>
      <c r="G905" s="5"/>
    </row>
    <row r="906" spans="1:7" s="56" customFormat="1" x14ac:dyDescent="0.2">
      <c r="A906" s="9"/>
      <c r="B906" s="62"/>
      <c r="C906" s="50"/>
      <c r="D906" s="51"/>
      <c r="E906" s="9"/>
      <c r="F906" s="5"/>
      <c r="G906" s="5"/>
    </row>
    <row r="907" spans="1:7" s="56" customFormat="1" x14ac:dyDescent="0.2">
      <c r="A907" s="9"/>
      <c r="B907" s="62"/>
      <c r="C907" s="50"/>
      <c r="D907" s="51"/>
      <c r="E907" s="9"/>
      <c r="F907" s="5"/>
      <c r="G907" s="5"/>
    </row>
    <row r="908" spans="1:7" s="56" customFormat="1" x14ac:dyDescent="0.2">
      <c r="A908" s="9"/>
      <c r="B908" s="62"/>
      <c r="C908" s="50"/>
      <c r="D908" s="51"/>
      <c r="E908" s="9"/>
      <c r="F908" s="5"/>
      <c r="G908" s="5"/>
    </row>
    <row r="909" spans="1:7" s="56" customFormat="1" x14ac:dyDescent="0.2">
      <c r="A909" s="9"/>
      <c r="B909" s="62"/>
      <c r="C909" s="50"/>
      <c r="D909" s="51"/>
      <c r="E909" s="9"/>
      <c r="F909" s="5"/>
      <c r="G909" s="5"/>
    </row>
    <row r="910" spans="1:7" s="56" customFormat="1" x14ac:dyDescent="0.2">
      <c r="A910" s="9"/>
      <c r="B910" s="62"/>
      <c r="C910" s="50"/>
      <c r="D910" s="51"/>
      <c r="E910" s="9"/>
      <c r="F910" s="5"/>
      <c r="G910" s="5"/>
    </row>
    <row r="911" spans="1:7" s="56" customFormat="1" x14ac:dyDescent="0.2">
      <c r="A911" s="9"/>
      <c r="B911" s="62"/>
      <c r="C911" s="50"/>
      <c r="D911" s="51"/>
      <c r="E911" s="9"/>
      <c r="F911" s="5"/>
      <c r="G911" s="5"/>
    </row>
    <row r="912" spans="1:7" s="56" customFormat="1" x14ac:dyDescent="0.2">
      <c r="A912" s="9"/>
      <c r="B912" s="62"/>
      <c r="C912" s="50"/>
      <c r="D912" s="51"/>
      <c r="E912" s="9"/>
      <c r="F912" s="5"/>
      <c r="G912" s="5"/>
    </row>
    <row r="913" spans="1:7" s="56" customFormat="1" x14ac:dyDescent="0.2">
      <c r="A913" s="9"/>
      <c r="B913" s="62"/>
      <c r="C913" s="50"/>
      <c r="D913" s="51"/>
      <c r="E913" s="9"/>
      <c r="F913" s="5"/>
      <c r="G913" s="5"/>
    </row>
    <row r="914" spans="1:7" s="56" customFormat="1" x14ac:dyDescent="0.2">
      <c r="A914" s="9"/>
      <c r="B914" s="62"/>
      <c r="C914" s="50"/>
      <c r="D914" s="51"/>
      <c r="E914" s="9"/>
      <c r="F914" s="5"/>
      <c r="G914" s="5"/>
    </row>
    <row r="915" spans="1:7" s="56" customFormat="1" x14ac:dyDescent="0.2">
      <c r="A915" s="9"/>
      <c r="B915" s="62"/>
      <c r="C915" s="50"/>
      <c r="D915" s="51"/>
      <c r="E915" s="9"/>
      <c r="F915" s="5"/>
      <c r="G915" s="5"/>
    </row>
    <row r="916" spans="1:7" s="56" customFormat="1" x14ac:dyDescent="0.2">
      <c r="A916" s="9"/>
      <c r="B916" s="62"/>
      <c r="C916" s="50"/>
      <c r="D916" s="51"/>
      <c r="E916" s="9"/>
      <c r="F916" s="5"/>
      <c r="G916" s="5"/>
    </row>
    <row r="917" spans="1:7" s="56" customFormat="1" x14ac:dyDescent="0.2">
      <c r="A917" s="9"/>
      <c r="B917" s="62"/>
      <c r="C917" s="50"/>
      <c r="D917" s="51"/>
      <c r="E917" s="9"/>
      <c r="F917" s="5"/>
      <c r="G917" s="5"/>
    </row>
    <row r="918" spans="1:7" s="56" customFormat="1" x14ac:dyDescent="0.2">
      <c r="A918" s="9"/>
      <c r="B918" s="62"/>
      <c r="C918" s="50"/>
      <c r="D918" s="51"/>
      <c r="E918" s="9"/>
      <c r="F918" s="5"/>
      <c r="G918" s="5"/>
    </row>
    <row r="919" spans="1:7" s="56" customFormat="1" x14ac:dyDescent="0.2">
      <c r="A919" s="9"/>
      <c r="B919" s="62"/>
      <c r="C919" s="50"/>
      <c r="D919" s="51"/>
      <c r="E919" s="9"/>
      <c r="F919" s="5"/>
      <c r="G919" s="5"/>
    </row>
    <row r="920" spans="1:7" s="56" customFormat="1" x14ac:dyDescent="0.2">
      <c r="A920" s="9"/>
      <c r="B920" s="62"/>
      <c r="C920" s="50"/>
      <c r="D920" s="51"/>
      <c r="E920" s="9"/>
      <c r="F920" s="5"/>
      <c r="G920" s="5"/>
    </row>
    <row r="921" spans="1:7" s="56" customFormat="1" x14ac:dyDescent="0.2">
      <c r="A921" s="9"/>
      <c r="B921" s="62"/>
      <c r="C921" s="50"/>
      <c r="D921" s="51"/>
      <c r="E921" s="9"/>
      <c r="F921" s="5"/>
      <c r="G921" s="5"/>
    </row>
    <row r="922" spans="1:7" s="56" customFormat="1" x14ac:dyDescent="0.2">
      <c r="A922" s="9"/>
      <c r="B922" s="62"/>
      <c r="C922" s="50"/>
      <c r="D922" s="51"/>
      <c r="E922" s="9"/>
      <c r="F922" s="5"/>
      <c r="G922" s="5"/>
    </row>
    <row r="923" spans="1:7" s="56" customFormat="1" x14ac:dyDescent="0.2">
      <c r="A923" s="9"/>
      <c r="B923" s="62"/>
      <c r="C923" s="50"/>
      <c r="D923" s="51"/>
      <c r="E923" s="9"/>
      <c r="F923" s="5"/>
      <c r="G923" s="5"/>
    </row>
    <row r="924" spans="1:7" s="56" customFormat="1" x14ac:dyDescent="0.2">
      <c r="A924" s="9"/>
      <c r="B924" s="62"/>
      <c r="C924" s="50"/>
      <c r="D924" s="51"/>
      <c r="E924" s="9"/>
      <c r="F924" s="5"/>
      <c r="G924" s="5"/>
    </row>
    <row r="925" spans="1:7" s="56" customFormat="1" x14ac:dyDescent="0.2">
      <c r="A925" s="9"/>
      <c r="B925" s="62"/>
      <c r="C925" s="50"/>
      <c r="D925" s="51"/>
      <c r="E925" s="9"/>
      <c r="F925" s="5"/>
      <c r="G925" s="5"/>
    </row>
    <row r="926" spans="1:7" s="56" customFormat="1" x14ac:dyDescent="0.2">
      <c r="A926" s="9"/>
      <c r="B926" s="62"/>
      <c r="C926" s="50"/>
      <c r="D926" s="51"/>
      <c r="E926" s="9"/>
      <c r="F926" s="5"/>
      <c r="G926" s="5"/>
    </row>
    <row r="927" spans="1:7" s="56" customFormat="1" x14ac:dyDescent="0.2">
      <c r="A927" s="9"/>
      <c r="B927" s="62"/>
      <c r="C927" s="50"/>
      <c r="D927" s="51"/>
      <c r="E927" s="9"/>
      <c r="F927" s="5"/>
      <c r="G927" s="5"/>
    </row>
    <row r="928" spans="1:7" s="56" customFormat="1" x14ac:dyDescent="0.2">
      <c r="A928" s="9"/>
      <c r="B928" s="62"/>
      <c r="C928" s="50"/>
      <c r="D928" s="51"/>
      <c r="E928" s="9"/>
      <c r="F928" s="5"/>
      <c r="G928" s="5"/>
    </row>
    <row r="929" spans="1:7" s="56" customFormat="1" x14ac:dyDescent="0.2">
      <c r="A929" s="9"/>
      <c r="B929" s="62"/>
      <c r="C929" s="50"/>
      <c r="D929" s="51"/>
      <c r="E929" s="9"/>
      <c r="F929" s="5"/>
      <c r="G929" s="5"/>
    </row>
    <row r="930" spans="1:7" s="56" customFormat="1" x14ac:dyDescent="0.2">
      <c r="A930" s="9"/>
      <c r="B930" s="62"/>
      <c r="C930" s="50"/>
      <c r="D930" s="51"/>
      <c r="E930" s="9"/>
      <c r="F930" s="5"/>
      <c r="G930" s="5"/>
    </row>
    <row r="931" spans="1:7" s="56" customFormat="1" x14ac:dyDescent="0.2">
      <c r="A931" s="9"/>
      <c r="B931" s="62"/>
      <c r="C931" s="50"/>
      <c r="D931" s="51"/>
      <c r="E931" s="9"/>
      <c r="F931" s="5"/>
      <c r="G931" s="5"/>
    </row>
    <row r="932" spans="1:7" s="56" customFormat="1" x14ac:dyDescent="0.2">
      <c r="A932" s="9"/>
      <c r="B932" s="62"/>
      <c r="C932" s="50"/>
      <c r="D932" s="51"/>
      <c r="E932" s="9"/>
      <c r="F932" s="5"/>
      <c r="G932" s="5"/>
    </row>
    <row r="933" spans="1:7" s="56" customFormat="1" x14ac:dyDescent="0.2">
      <c r="A933" s="9"/>
      <c r="B933" s="62"/>
      <c r="C933" s="50"/>
      <c r="D933" s="51"/>
      <c r="E933" s="9"/>
      <c r="F933" s="5"/>
      <c r="G933" s="5"/>
    </row>
    <row r="934" spans="1:7" s="56" customFormat="1" x14ac:dyDescent="0.2">
      <c r="A934" s="9"/>
      <c r="B934" s="62"/>
      <c r="C934" s="50"/>
      <c r="D934" s="51"/>
      <c r="E934" s="9"/>
      <c r="F934" s="5"/>
      <c r="G934" s="5"/>
    </row>
    <row r="935" spans="1:7" s="56" customFormat="1" x14ac:dyDescent="0.2">
      <c r="A935" s="9"/>
      <c r="B935" s="62"/>
      <c r="C935" s="50"/>
      <c r="D935" s="51"/>
      <c r="E935" s="9"/>
      <c r="F935" s="5"/>
      <c r="G935" s="5"/>
    </row>
    <row r="936" spans="1:7" s="56" customFormat="1" x14ac:dyDescent="0.2">
      <c r="A936" s="9"/>
      <c r="B936" s="62"/>
      <c r="C936" s="50"/>
      <c r="D936" s="51"/>
      <c r="E936" s="9"/>
      <c r="F936" s="5"/>
      <c r="G936" s="5"/>
    </row>
    <row r="937" spans="1:7" s="56" customFormat="1" x14ac:dyDescent="0.2">
      <c r="A937" s="9"/>
      <c r="B937" s="62"/>
      <c r="C937" s="50"/>
      <c r="D937" s="51"/>
      <c r="E937" s="9"/>
      <c r="F937" s="5"/>
      <c r="G937" s="5"/>
    </row>
    <row r="938" spans="1:7" s="56" customFormat="1" x14ac:dyDescent="0.2">
      <c r="A938" s="9"/>
      <c r="B938" s="62"/>
      <c r="C938" s="50"/>
      <c r="D938" s="51"/>
      <c r="E938" s="9"/>
      <c r="F938" s="5"/>
      <c r="G938" s="5"/>
    </row>
    <row r="939" spans="1:7" s="56" customFormat="1" x14ac:dyDescent="0.2">
      <c r="A939" s="9"/>
      <c r="B939" s="62"/>
      <c r="C939" s="50"/>
      <c r="D939" s="51"/>
      <c r="E939" s="9"/>
      <c r="F939" s="5"/>
      <c r="G939" s="5"/>
    </row>
    <row r="940" spans="1:7" s="56" customFormat="1" x14ac:dyDescent="0.2">
      <c r="A940" s="9"/>
      <c r="B940" s="62"/>
      <c r="C940" s="50"/>
      <c r="D940" s="51"/>
      <c r="E940" s="9"/>
      <c r="F940" s="5"/>
      <c r="G940" s="5"/>
    </row>
    <row r="941" spans="1:7" s="56" customFormat="1" x14ac:dyDescent="0.2">
      <c r="A941" s="9"/>
      <c r="B941" s="62"/>
      <c r="C941" s="50"/>
      <c r="D941" s="51"/>
      <c r="E941" s="9"/>
      <c r="F941" s="5"/>
      <c r="G941" s="5"/>
    </row>
    <row r="942" spans="1:7" s="56" customFormat="1" x14ac:dyDescent="0.2">
      <c r="A942" s="9"/>
      <c r="B942" s="62"/>
      <c r="C942" s="50"/>
      <c r="D942" s="51"/>
      <c r="E942" s="9"/>
      <c r="F942" s="5"/>
      <c r="G942" s="5"/>
    </row>
    <row r="943" spans="1:7" s="56" customFormat="1" x14ac:dyDescent="0.2">
      <c r="A943" s="9"/>
      <c r="B943" s="62"/>
      <c r="C943" s="50"/>
      <c r="D943" s="51"/>
      <c r="E943" s="9"/>
      <c r="F943" s="5"/>
      <c r="G943" s="5"/>
    </row>
    <row r="944" spans="1:7" s="56" customFormat="1" x14ac:dyDescent="0.2">
      <c r="A944" s="9"/>
      <c r="B944" s="62"/>
      <c r="C944" s="50"/>
      <c r="D944" s="51"/>
      <c r="E944" s="9"/>
      <c r="F944" s="5"/>
      <c r="G944" s="5"/>
    </row>
    <row r="945" spans="1:7" s="56" customFormat="1" x14ac:dyDescent="0.2">
      <c r="A945" s="9"/>
      <c r="B945" s="62"/>
      <c r="C945" s="50"/>
      <c r="D945" s="51"/>
      <c r="E945" s="9"/>
      <c r="F945" s="5"/>
      <c r="G945" s="5"/>
    </row>
    <row r="946" spans="1:7" s="56" customFormat="1" x14ac:dyDescent="0.2">
      <c r="A946" s="9"/>
      <c r="B946" s="62"/>
      <c r="C946" s="50"/>
      <c r="D946" s="51"/>
      <c r="E946" s="9"/>
      <c r="F946" s="5"/>
      <c r="G946" s="5"/>
    </row>
    <row r="947" spans="1:7" s="56" customFormat="1" x14ac:dyDescent="0.2">
      <c r="A947" s="9"/>
      <c r="B947" s="62"/>
      <c r="C947" s="50"/>
      <c r="D947" s="51"/>
      <c r="E947" s="9"/>
      <c r="F947" s="5"/>
      <c r="G947" s="5"/>
    </row>
    <row r="948" spans="1:7" s="56" customFormat="1" x14ac:dyDescent="0.2">
      <c r="A948" s="9"/>
      <c r="B948" s="62"/>
      <c r="C948" s="50"/>
      <c r="D948" s="51"/>
      <c r="E948" s="9"/>
      <c r="F948" s="5"/>
      <c r="G948" s="5"/>
    </row>
    <row r="949" spans="1:7" s="56" customFormat="1" x14ac:dyDescent="0.2">
      <c r="A949" s="9"/>
      <c r="B949" s="62"/>
      <c r="C949" s="50"/>
      <c r="D949" s="51"/>
      <c r="E949" s="9"/>
      <c r="F949" s="5"/>
      <c r="G949" s="5"/>
    </row>
    <row r="950" spans="1:7" s="56" customFormat="1" x14ac:dyDescent="0.2">
      <c r="A950" s="9"/>
      <c r="B950" s="62"/>
      <c r="C950" s="50"/>
      <c r="D950" s="51"/>
      <c r="E950" s="9"/>
      <c r="F950" s="5"/>
      <c r="G950" s="5"/>
    </row>
    <row r="951" spans="1:7" s="56" customFormat="1" x14ac:dyDescent="0.2">
      <c r="A951" s="9"/>
      <c r="B951" s="62"/>
      <c r="C951" s="50"/>
      <c r="D951" s="51"/>
      <c r="E951" s="9"/>
      <c r="F951" s="5"/>
      <c r="G951" s="5"/>
    </row>
    <row r="952" spans="1:7" s="56" customFormat="1" x14ac:dyDescent="0.2">
      <c r="A952" s="9"/>
      <c r="B952" s="62"/>
      <c r="C952" s="50"/>
      <c r="D952" s="51"/>
      <c r="E952" s="9"/>
      <c r="F952" s="5"/>
      <c r="G952" s="5"/>
    </row>
    <row r="953" spans="1:7" s="56" customFormat="1" x14ac:dyDescent="0.2">
      <c r="A953" s="9"/>
      <c r="B953" s="62"/>
      <c r="C953" s="50"/>
      <c r="D953" s="51"/>
      <c r="E953" s="9"/>
      <c r="F953" s="5"/>
      <c r="G953" s="5"/>
    </row>
    <row r="954" spans="1:7" s="56" customFormat="1" x14ac:dyDescent="0.2">
      <c r="A954" s="9"/>
      <c r="B954" s="62"/>
      <c r="C954" s="50"/>
      <c r="D954" s="51"/>
      <c r="E954" s="9"/>
      <c r="F954" s="5"/>
      <c r="G954" s="5"/>
    </row>
    <row r="955" spans="1:7" s="56" customFormat="1" x14ac:dyDescent="0.2">
      <c r="A955" s="9"/>
      <c r="B955" s="62"/>
      <c r="C955" s="50"/>
      <c r="D955" s="51"/>
      <c r="E955" s="9"/>
      <c r="F955" s="5"/>
      <c r="G955" s="5"/>
    </row>
    <row r="956" spans="1:7" s="56" customFormat="1" x14ac:dyDescent="0.2">
      <c r="A956" s="9"/>
      <c r="B956" s="62"/>
      <c r="C956" s="50"/>
      <c r="D956" s="51"/>
      <c r="E956" s="9"/>
      <c r="F956" s="5"/>
      <c r="G956" s="5"/>
    </row>
    <row r="957" spans="1:7" s="56" customFormat="1" x14ac:dyDescent="0.2">
      <c r="A957" s="9"/>
      <c r="B957" s="62"/>
      <c r="C957" s="50"/>
      <c r="D957" s="51"/>
      <c r="E957" s="9"/>
      <c r="F957" s="5"/>
      <c r="G957" s="5"/>
    </row>
    <row r="958" spans="1:7" s="56" customFormat="1" x14ac:dyDescent="0.2">
      <c r="A958" s="9"/>
      <c r="B958" s="62"/>
      <c r="C958" s="50"/>
      <c r="D958" s="51"/>
      <c r="E958" s="9"/>
      <c r="F958" s="5"/>
      <c r="G958" s="5"/>
    </row>
    <row r="959" spans="1:7" s="56" customFormat="1" x14ac:dyDescent="0.2">
      <c r="A959" s="9"/>
      <c r="B959" s="62"/>
      <c r="C959" s="50"/>
      <c r="D959" s="51"/>
      <c r="E959" s="9"/>
      <c r="F959" s="5"/>
      <c r="G959" s="5"/>
    </row>
    <row r="960" spans="1:7" s="56" customFormat="1" x14ac:dyDescent="0.2">
      <c r="A960" s="9"/>
      <c r="B960" s="62"/>
      <c r="C960" s="50"/>
      <c r="D960" s="51"/>
      <c r="E960" s="9"/>
      <c r="F960" s="5"/>
      <c r="G960" s="5"/>
    </row>
    <row r="961" spans="1:7" s="56" customFormat="1" x14ac:dyDescent="0.2">
      <c r="A961" s="9"/>
      <c r="B961" s="62"/>
      <c r="C961" s="50"/>
      <c r="D961" s="51"/>
      <c r="E961" s="9"/>
      <c r="F961" s="5"/>
      <c r="G961" s="5"/>
    </row>
    <row r="962" spans="1:7" s="56" customFormat="1" x14ac:dyDescent="0.2">
      <c r="A962" s="9"/>
      <c r="B962" s="62"/>
      <c r="C962" s="50"/>
      <c r="D962" s="51"/>
      <c r="E962" s="9"/>
      <c r="F962" s="5"/>
      <c r="G962" s="5"/>
    </row>
    <row r="963" spans="1:7" s="56" customFormat="1" x14ac:dyDescent="0.2">
      <c r="A963" s="9"/>
      <c r="B963" s="62"/>
      <c r="C963" s="50"/>
      <c r="D963" s="51"/>
      <c r="E963" s="9"/>
      <c r="F963" s="5"/>
      <c r="G963" s="5"/>
    </row>
    <row r="964" spans="1:7" s="56" customFormat="1" x14ac:dyDescent="0.2">
      <c r="A964" s="9"/>
      <c r="B964" s="62"/>
      <c r="C964" s="50"/>
      <c r="D964" s="51"/>
      <c r="E964" s="9"/>
      <c r="F964" s="5"/>
      <c r="G964" s="5"/>
    </row>
    <row r="965" spans="1:7" s="56" customFormat="1" x14ac:dyDescent="0.2">
      <c r="A965" s="9"/>
      <c r="B965" s="62"/>
      <c r="C965" s="50"/>
      <c r="D965" s="51"/>
      <c r="E965" s="9"/>
      <c r="F965" s="5"/>
      <c r="G965" s="5"/>
    </row>
    <row r="966" spans="1:7" s="56" customFormat="1" x14ac:dyDescent="0.2">
      <c r="A966" s="9"/>
      <c r="B966" s="62"/>
      <c r="C966" s="50"/>
      <c r="D966" s="51"/>
      <c r="E966" s="9"/>
      <c r="F966" s="5"/>
      <c r="G966" s="5"/>
    </row>
    <row r="967" spans="1:7" s="56" customFormat="1" x14ac:dyDescent="0.2">
      <c r="A967" s="9"/>
      <c r="B967" s="62"/>
      <c r="C967" s="50"/>
      <c r="D967" s="51"/>
      <c r="E967" s="9"/>
      <c r="F967" s="5"/>
      <c r="G967" s="5"/>
    </row>
    <row r="968" spans="1:7" s="56" customFormat="1" x14ac:dyDescent="0.2">
      <c r="A968" s="9"/>
      <c r="B968" s="62"/>
      <c r="C968" s="50"/>
      <c r="D968" s="51"/>
      <c r="E968" s="9"/>
      <c r="F968" s="5"/>
      <c r="G968" s="5"/>
    </row>
    <row r="969" spans="1:7" s="56" customFormat="1" x14ac:dyDescent="0.2">
      <c r="A969" s="9"/>
      <c r="B969" s="62"/>
      <c r="C969" s="50"/>
      <c r="D969" s="51"/>
      <c r="E969" s="9"/>
      <c r="F969" s="5"/>
      <c r="G969" s="5"/>
    </row>
    <row r="970" spans="1:7" s="56" customFormat="1" x14ac:dyDescent="0.2">
      <c r="A970" s="9"/>
      <c r="B970" s="62"/>
      <c r="C970" s="50"/>
      <c r="D970" s="51"/>
      <c r="E970" s="9"/>
      <c r="F970" s="5"/>
      <c r="G970" s="5"/>
    </row>
    <row r="971" spans="1:7" s="56" customFormat="1" x14ac:dyDescent="0.2">
      <c r="A971" s="9"/>
      <c r="B971" s="62"/>
      <c r="C971" s="50"/>
      <c r="D971" s="51"/>
      <c r="E971" s="9"/>
      <c r="F971" s="5"/>
      <c r="G971" s="5"/>
    </row>
    <row r="972" spans="1:7" s="56" customFormat="1" x14ac:dyDescent="0.2">
      <c r="A972" s="9"/>
      <c r="B972" s="62"/>
      <c r="C972" s="50"/>
      <c r="D972" s="51"/>
      <c r="E972" s="9"/>
      <c r="F972" s="5"/>
      <c r="G972" s="5"/>
    </row>
    <row r="973" spans="1:7" s="56" customFormat="1" x14ac:dyDescent="0.2">
      <c r="A973" s="9"/>
      <c r="B973" s="62"/>
      <c r="C973" s="50"/>
      <c r="D973" s="51"/>
      <c r="E973" s="9"/>
      <c r="F973" s="5"/>
      <c r="G973" s="5"/>
    </row>
    <row r="974" spans="1:7" s="56" customFormat="1" x14ac:dyDescent="0.2">
      <c r="A974" s="9"/>
      <c r="B974" s="62"/>
      <c r="C974" s="50"/>
      <c r="D974" s="51"/>
      <c r="E974" s="9"/>
      <c r="F974" s="5"/>
      <c r="G974" s="5"/>
    </row>
    <row r="975" spans="1:7" s="56" customFormat="1" x14ac:dyDescent="0.2">
      <c r="A975" s="9"/>
      <c r="B975" s="62"/>
      <c r="C975" s="50"/>
      <c r="D975" s="51"/>
      <c r="E975" s="9"/>
      <c r="F975" s="5"/>
      <c r="G975" s="5"/>
    </row>
    <row r="976" spans="1:7" s="56" customFormat="1" x14ac:dyDescent="0.2">
      <c r="A976" s="9"/>
      <c r="B976" s="62"/>
      <c r="C976" s="50"/>
      <c r="D976" s="51"/>
      <c r="E976" s="9"/>
      <c r="F976" s="5"/>
      <c r="G976" s="5"/>
    </row>
    <row r="977" spans="1:7" s="56" customFormat="1" x14ac:dyDescent="0.2">
      <c r="A977" s="9"/>
      <c r="B977" s="62"/>
      <c r="C977" s="50"/>
      <c r="D977" s="51"/>
      <c r="E977" s="9"/>
      <c r="F977" s="5"/>
      <c r="G977" s="5"/>
    </row>
    <row r="978" spans="1:7" s="56" customFormat="1" x14ac:dyDescent="0.2">
      <c r="A978" s="9"/>
      <c r="B978" s="62"/>
      <c r="C978" s="50"/>
      <c r="D978" s="51"/>
      <c r="E978" s="9"/>
      <c r="F978" s="5"/>
      <c r="G978" s="5"/>
    </row>
    <row r="979" spans="1:7" s="56" customFormat="1" x14ac:dyDescent="0.2">
      <c r="A979" s="9"/>
      <c r="B979" s="62"/>
      <c r="C979" s="50"/>
      <c r="D979" s="51"/>
      <c r="E979" s="9"/>
      <c r="F979" s="5"/>
      <c r="G979" s="5"/>
    </row>
    <row r="980" spans="1:7" s="56" customFormat="1" x14ac:dyDescent="0.2">
      <c r="A980" s="9"/>
      <c r="B980" s="62"/>
      <c r="C980" s="50"/>
      <c r="D980" s="51"/>
      <c r="E980" s="9"/>
      <c r="F980" s="5"/>
      <c r="G980" s="5"/>
    </row>
    <row r="981" spans="1:7" s="56" customFormat="1" x14ac:dyDescent="0.2">
      <c r="A981" s="9"/>
      <c r="B981" s="62"/>
      <c r="C981" s="50"/>
      <c r="D981" s="51"/>
      <c r="E981" s="9"/>
      <c r="F981" s="5"/>
      <c r="G981" s="5"/>
    </row>
    <row r="982" spans="1:7" s="56" customFormat="1" x14ac:dyDescent="0.2">
      <c r="A982" s="9"/>
      <c r="B982" s="62"/>
      <c r="C982" s="50"/>
      <c r="D982" s="51"/>
      <c r="E982" s="9"/>
      <c r="F982" s="5"/>
      <c r="G982" s="5"/>
    </row>
    <row r="983" spans="1:7" s="56" customFormat="1" x14ac:dyDescent="0.2">
      <c r="A983" s="9"/>
      <c r="B983" s="62"/>
      <c r="C983" s="50"/>
      <c r="D983" s="51"/>
      <c r="E983" s="9"/>
      <c r="F983" s="5"/>
      <c r="G983" s="5"/>
    </row>
    <row r="984" spans="1:7" s="56" customFormat="1" x14ac:dyDescent="0.2">
      <c r="A984" s="9"/>
      <c r="B984" s="62"/>
      <c r="C984" s="50"/>
      <c r="D984" s="51"/>
      <c r="E984" s="9"/>
      <c r="F984" s="5"/>
      <c r="G984" s="5"/>
    </row>
    <row r="985" spans="1:7" s="56" customFormat="1" x14ac:dyDescent="0.2">
      <c r="A985" s="9"/>
      <c r="B985" s="62"/>
      <c r="C985" s="50"/>
      <c r="D985" s="51"/>
      <c r="E985" s="9"/>
      <c r="F985" s="5"/>
      <c r="G985" s="5"/>
    </row>
    <row r="986" spans="1:7" s="56" customFormat="1" x14ac:dyDescent="0.2">
      <c r="A986" s="9"/>
      <c r="B986" s="62"/>
      <c r="C986" s="50"/>
      <c r="D986" s="51"/>
      <c r="E986" s="9"/>
      <c r="F986" s="5"/>
      <c r="G986" s="5"/>
    </row>
    <row r="987" spans="1:7" s="56" customFormat="1" x14ac:dyDescent="0.2">
      <c r="A987" s="9"/>
      <c r="B987" s="62"/>
      <c r="C987" s="50"/>
      <c r="D987" s="51"/>
      <c r="E987" s="9"/>
      <c r="F987" s="5"/>
      <c r="G987" s="5"/>
    </row>
    <row r="988" spans="1:7" s="56" customFormat="1" x14ac:dyDescent="0.2">
      <c r="A988" s="9"/>
      <c r="B988" s="62"/>
      <c r="C988" s="50"/>
      <c r="D988" s="51"/>
      <c r="E988" s="9"/>
      <c r="F988" s="5"/>
      <c r="G988" s="5"/>
    </row>
    <row r="989" spans="1:7" s="56" customFormat="1" x14ac:dyDescent="0.2">
      <c r="A989" s="9"/>
      <c r="B989" s="62"/>
      <c r="C989" s="50"/>
      <c r="D989" s="51"/>
      <c r="E989" s="9"/>
      <c r="F989" s="5"/>
      <c r="G989" s="5"/>
    </row>
    <row r="990" spans="1:7" s="56" customFormat="1" x14ac:dyDescent="0.2">
      <c r="A990" s="9"/>
      <c r="B990" s="62"/>
      <c r="C990" s="50"/>
      <c r="D990" s="51"/>
      <c r="E990" s="9"/>
      <c r="F990" s="5"/>
      <c r="G990" s="5"/>
    </row>
    <row r="991" spans="1:7" s="56" customFormat="1" x14ac:dyDescent="0.2">
      <c r="A991" s="9"/>
      <c r="B991" s="62"/>
      <c r="C991" s="50"/>
      <c r="D991" s="51"/>
      <c r="E991" s="9"/>
      <c r="F991" s="5"/>
      <c r="G991" s="5"/>
    </row>
    <row r="992" spans="1:7" s="56" customFormat="1" x14ac:dyDescent="0.2">
      <c r="A992" s="9"/>
      <c r="B992" s="62"/>
      <c r="C992" s="50"/>
      <c r="D992" s="51"/>
      <c r="E992" s="9"/>
      <c r="F992" s="5"/>
      <c r="G992" s="5"/>
    </row>
    <row r="993" spans="1:7" s="56" customFormat="1" x14ac:dyDescent="0.2">
      <c r="A993" s="9"/>
      <c r="B993" s="62"/>
      <c r="C993" s="50"/>
      <c r="D993" s="51"/>
      <c r="E993" s="9"/>
      <c r="F993" s="5"/>
      <c r="G993" s="5"/>
    </row>
    <row r="994" spans="1:7" s="56" customFormat="1" x14ac:dyDescent="0.2">
      <c r="A994" s="9"/>
      <c r="B994" s="62"/>
      <c r="C994" s="50"/>
      <c r="D994" s="51"/>
      <c r="E994" s="9"/>
      <c r="F994" s="5"/>
      <c r="G994" s="5"/>
    </row>
    <row r="995" spans="1:7" s="56" customFormat="1" x14ac:dyDescent="0.2">
      <c r="A995" s="9"/>
      <c r="B995" s="62"/>
      <c r="C995" s="50"/>
      <c r="D995" s="51"/>
      <c r="E995" s="9"/>
      <c r="F995" s="5"/>
      <c r="G995" s="5"/>
    </row>
    <row r="996" spans="1:7" s="56" customFormat="1" x14ac:dyDescent="0.2">
      <c r="A996" s="9"/>
      <c r="B996" s="62"/>
      <c r="C996" s="50"/>
      <c r="D996" s="51"/>
      <c r="E996" s="9"/>
      <c r="F996" s="5"/>
      <c r="G996" s="5"/>
    </row>
    <row r="997" spans="1:7" s="56" customFormat="1" x14ac:dyDescent="0.2">
      <c r="A997" s="9"/>
      <c r="B997" s="62"/>
      <c r="C997" s="50"/>
      <c r="D997" s="51"/>
      <c r="E997" s="9"/>
      <c r="F997" s="5"/>
      <c r="G997" s="5"/>
    </row>
    <row r="998" spans="1:7" s="56" customFormat="1" x14ac:dyDescent="0.2">
      <c r="A998" s="9"/>
      <c r="B998" s="62"/>
      <c r="C998" s="50"/>
      <c r="D998" s="51"/>
      <c r="E998" s="9"/>
      <c r="F998" s="5"/>
      <c r="G998" s="5"/>
    </row>
    <row r="999" spans="1:7" s="56" customFormat="1" x14ac:dyDescent="0.2">
      <c r="A999" s="9"/>
      <c r="B999" s="62"/>
      <c r="C999" s="50"/>
      <c r="D999" s="51"/>
      <c r="E999" s="9"/>
      <c r="F999" s="5"/>
      <c r="G999" s="5"/>
    </row>
    <row r="1000" spans="1:7" s="56" customFormat="1" x14ac:dyDescent="0.2">
      <c r="A1000" s="9"/>
      <c r="B1000" s="62"/>
      <c r="C1000" s="50"/>
      <c r="D1000" s="51"/>
      <c r="E1000" s="9"/>
      <c r="F1000" s="5"/>
      <c r="G1000" s="5"/>
    </row>
    <row r="1001" spans="1:7" s="56" customFormat="1" x14ac:dyDescent="0.2">
      <c r="A1001" s="9"/>
      <c r="B1001" s="62"/>
      <c r="C1001" s="50"/>
      <c r="D1001" s="51"/>
      <c r="E1001" s="9"/>
      <c r="F1001" s="5"/>
      <c r="G1001" s="5"/>
    </row>
    <row r="1002" spans="1:7" s="56" customFormat="1" x14ac:dyDescent="0.2">
      <c r="A1002" s="9"/>
      <c r="B1002" s="62"/>
      <c r="C1002" s="50"/>
      <c r="D1002" s="51"/>
      <c r="E1002" s="9"/>
      <c r="F1002" s="5"/>
      <c r="G1002" s="5"/>
    </row>
    <row r="1003" spans="1:7" s="56" customFormat="1" x14ac:dyDescent="0.2">
      <c r="A1003" s="9"/>
      <c r="B1003" s="62"/>
      <c r="C1003" s="50"/>
      <c r="D1003" s="51"/>
      <c r="E1003" s="9"/>
      <c r="F1003" s="5"/>
      <c r="G1003" s="5"/>
    </row>
    <row r="1004" spans="1:7" s="56" customFormat="1" x14ac:dyDescent="0.2">
      <c r="A1004" s="9"/>
      <c r="B1004" s="62"/>
      <c r="C1004" s="50"/>
      <c r="D1004" s="51"/>
      <c r="E1004" s="9"/>
      <c r="F1004" s="5"/>
      <c r="G1004" s="5"/>
    </row>
    <row r="1005" spans="1:7" s="56" customFormat="1" x14ac:dyDescent="0.2">
      <c r="A1005" s="9"/>
      <c r="B1005" s="62"/>
      <c r="C1005" s="50"/>
      <c r="D1005" s="51"/>
      <c r="E1005" s="9"/>
      <c r="F1005" s="5"/>
      <c r="G1005" s="5"/>
    </row>
    <row r="1006" spans="1:7" s="56" customFormat="1" x14ac:dyDescent="0.2">
      <c r="A1006" s="9"/>
      <c r="B1006" s="62"/>
      <c r="C1006" s="50"/>
      <c r="D1006" s="51"/>
      <c r="E1006" s="9"/>
      <c r="F1006" s="5"/>
      <c r="G1006" s="5"/>
    </row>
    <row r="1007" spans="1:7" s="56" customFormat="1" x14ac:dyDescent="0.2">
      <c r="A1007" s="9"/>
      <c r="B1007" s="62"/>
      <c r="C1007" s="50"/>
      <c r="D1007" s="51"/>
      <c r="E1007" s="9"/>
      <c r="F1007" s="5"/>
      <c r="G1007" s="5"/>
    </row>
    <row r="1008" spans="1:7" s="56" customFormat="1" x14ac:dyDescent="0.2">
      <c r="A1008" s="9"/>
      <c r="B1008" s="62"/>
      <c r="C1008" s="50"/>
      <c r="D1008" s="51"/>
      <c r="E1008" s="9"/>
      <c r="F1008" s="5"/>
      <c r="G1008" s="5"/>
    </row>
    <row r="1009" spans="1:7" s="56" customFormat="1" x14ac:dyDescent="0.2">
      <c r="A1009" s="9"/>
      <c r="B1009" s="62"/>
      <c r="C1009" s="50"/>
      <c r="D1009" s="51"/>
      <c r="E1009" s="9"/>
      <c r="F1009" s="5"/>
      <c r="G1009" s="5"/>
    </row>
    <row r="1010" spans="1:7" s="56" customFormat="1" x14ac:dyDescent="0.2">
      <c r="A1010" s="9"/>
      <c r="B1010" s="62"/>
      <c r="C1010" s="50"/>
      <c r="D1010" s="51"/>
      <c r="E1010" s="9"/>
      <c r="F1010" s="5"/>
      <c r="G1010" s="5"/>
    </row>
    <row r="1011" spans="1:7" s="56" customFormat="1" x14ac:dyDescent="0.2">
      <c r="A1011" s="9"/>
      <c r="B1011" s="62"/>
      <c r="C1011" s="50"/>
      <c r="D1011" s="51"/>
      <c r="E1011" s="9"/>
      <c r="F1011" s="5"/>
      <c r="G1011" s="5"/>
    </row>
    <row r="1012" spans="1:7" s="56" customFormat="1" x14ac:dyDescent="0.2">
      <c r="A1012" s="9"/>
      <c r="B1012" s="62"/>
      <c r="C1012" s="50"/>
      <c r="D1012" s="51"/>
      <c r="E1012" s="9"/>
      <c r="F1012" s="5"/>
      <c r="G1012" s="5"/>
    </row>
    <row r="1013" spans="1:7" s="56" customFormat="1" x14ac:dyDescent="0.2">
      <c r="A1013" s="9"/>
      <c r="B1013" s="62"/>
      <c r="C1013" s="50"/>
      <c r="D1013" s="51"/>
      <c r="E1013" s="9"/>
      <c r="F1013" s="5"/>
      <c r="G1013" s="5"/>
    </row>
    <row r="1014" spans="1:7" s="56" customFormat="1" x14ac:dyDescent="0.2">
      <c r="A1014" s="9"/>
      <c r="B1014" s="62"/>
      <c r="C1014" s="50"/>
      <c r="D1014" s="51"/>
      <c r="E1014" s="9"/>
      <c r="F1014" s="5"/>
      <c r="G1014" s="5"/>
    </row>
    <row r="1015" spans="1:7" s="56" customFormat="1" x14ac:dyDescent="0.2">
      <c r="A1015" s="9"/>
      <c r="B1015" s="62"/>
      <c r="C1015" s="50"/>
      <c r="D1015" s="51"/>
      <c r="E1015" s="9"/>
      <c r="F1015" s="5"/>
      <c r="G1015" s="5"/>
    </row>
    <row r="1016" spans="1:7" s="56" customFormat="1" x14ac:dyDescent="0.2">
      <c r="A1016" s="9"/>
      <c r="B1016" s="62"/>
      <c r="C1016" s="50"/>
      <c r="D1016" s="51"/>
      <c r="E1016" s="9"/>
      <c r="F1016" s="5"/>
      <c r="G1016" s="5"/>
    </row>
    <row r="1017" spans="1:7" s="56" customFormat="1" x14ac:dyDescent="0.2">
      <c r="A1017" s="9"/>
      <c r="B1017" s="62"/>
      <c r="C1017" s="50"/>
      <c r="D1017" s="51"/>
      <c r="E1017" s="9"/>
      <c r="F1017" s="5"/>
      <c r="G1017" s="5"/>
    </row>
    <row r="1018" spans="1:7" s="56" customFormat="1" x14ac:dyDescent="0.2">
      <c r="A1018" s="9"/>
      <c r="B1018" s="62"/>
      <c r="C1018" s="50"/>
      <c r="D1018" s="51"/>
      <c r="E1018" s="9"/>
      <c r="F1018" s="5"/>
      <c r="G1018" s="5"/>
    </row>
    <row r="1019" spans="1:7" s="56" customFormat="1" x14ac:dyDescent="0.2">
      <c r="A1019" s="9"/>
      <c r="B1019" s="62"/>
      <c r="C1019" s="50"/>
      <c r="D1019" s="51"/>
      <c r="E1019" s="9"/>
      <c r="F1019" s="5"/>
      <c r="G1019" s="5"/>
    </row>
    <row r="1020" spans="1:7" s="56" customFormat="1" x14ac:dyDescent="0.2">
      <c r="A1020" s="9"/>
      <c r="B1020" s="62"/>
      <c r="C1020" s="50"/>
      <c r="D1020" s="51"/>
      <c r="E1020" s="9"/>
      <c r="F1020" s="5"/>
      <c r="G1020" s="5"/>
    </row>
    <row r="1021" spans="1:7" s="56" customFormat="1" x14ac:dyDescent="0.2">
      <c r="A1021" s="9"/>
      <c r="B1021" s="62"/>
      <c r="C1021" s="50"/>
      <c r="D1021" s="51"/>
      <c r="E1021" s="9"/>
      <c r="F1021" s="5"/>
      <c r="G1021" s="5"/>
    </row>
    <row r="1022" spans="1:7" s="56" customFormat="1" x14ac:dyDescent="0.2">
      <c r="A1022" s="9"/>
      <c r="B1022" s="62"/>
      <c r="C1022" s="50"/>
      <c r="D1022" s="51"/>
      <c r="E1022" s="9"/>
      <c r="F1022" s="5"/>
      <c r="G1022" s="5"/>
    </row>
    <row r="1023" spans="1:7" s="56" customFormat="1" x14ac:dyDescent="0.2">
      <c r="A1023" s="9"/>
      <c r="B1023" s="62"/>
      <c r="C1023" s="50"/>
      <c r="D1023" s="51"/>
      <c r="E1023" s="9"/>
      <c r="F1023" s="5"/>
      <c r="G1023" s="5"/>
    </row>
    <row r="1024" spans="1:7" s="56" customFormat="1" x14ac:dyDescent="0.2">
      <c r="A1024" s="9"/>
      <c r="B1024" s="62"/>
      <c r="C1024" s="50"/>
      <c r="D1024" s="51"/>
      <c r="E1024" s="9"/>
      <c r="F1024" s="5"/>
      <c r="G1024" s="5"/>
    </row>
    <row r="1025" spans="1:7" s="56" customFormat="1" x14ac:dyDescent="0.2">
      <c r="A1025" s="9"/>
      <c r="B1025" s="62"/>
      <c r="C1025" s="50"/>
      <c r="D1025" s="51"/>
      <c r="E1025" s="9"/>
      <c r="F1025" s="5"/>
      <c r="G1025" s="5"/>
    </row>
    <row r="1026" spans="1:7" s="56" customFormat="1" x14ac:dyDescent="0.2">
      <c r="A1026" s="9"/>
      <c r="B1026" s="62"/>
      <c r="C1026" s="50"/>
      <c r="D1026" s="51"/>
      <c r="E1026" s="9"/>
      <c r="F1026" s="5"/>
      <c r="G1026" s="5"/>
    </row>
    <row r="1027" spans="1:7" s="56" customFormat="1" x14ac:dyDescent="0.2">
      <c r="A1027" s="9"/>
      <c r="B1027" s="62"/>
      <c r="C1027" s="50"/>
      <c r="D1027" s="51"/>
      <c r="E1027" s="9"/>
      <c r="F1027" s="5"/>
      <c r="G1027" s="5"/>
    </row>
    <row r="1028" spans="1:7" s="56" customFormat="1" x14ac:dyDescent="0.2">
      <c r="A1028" s="9"/>
      <c r="B1028" s="62"/>
      <c r="C1028" s="50"/>
      <c r="D1028" s="51"/>
      <c r="E1028" s="9"/>
      <c r="F1028" s="5"/>
      <c r="G1028" s="5"/>
    </row>
    <row r="1029" spans="1:7" s="56" customFormat="1" x14ac:dyDescent="0.2">
      <c r="A1029" s="9"/>
      <c r="B1029" s="62"/>
      <c r="C1029" s="50"/>
      <c r="D1029" s="51"/>
      <c r="E1029" s="9"/>
      <c r="F1029" s="5"/>
      <c r="G1029" s="5"/>
    </row>
    <row r="1030" spans="1:7" s="56" customFormat="1" x14ac:dyDescent="0.2">
      <c r="A1030" s="9"/>
      <c r="B1030" s="62"/>
      <c r="C1030" s="50"/>
      <c r="D1030" s="51"/>
      <c r="E1030" s="9"/>
      <c r="F1030" s="5"/>
      <c r="G1030" s="5"/>
    </row>
    <row r="1031" spans="1:7" s="56" customFormat="1" x14ac:dyDescent="0.2">
      <c r="A1031" s="9"/>
      <c r="B1031" s="62"/>
      <c r="C1031" s="50"/>
      <c r="D1031" s="51"/>
      <c r="E1031" s="9"/>
      <c r="F1031" s="5"/>
      <c r="G1031" s="5"/>
    </row>
    <row r="1032" spans="1:7" s="56" customFormat="1" x14ac:dyDescent="0.2">
      <c r="A1032" s="9"/>
      <c r="B1032" s="62"/>
      <c r="C1032" s="50"/>
      <c r="D1032" s="51"/>
      <c r="E1032" s="9"/>
      <c r="F1032" s="5"/>
      <c r="G1032" s="5"/>
    </row>
    <row r="1033" spans="1:7" s="56" customFormat="1" x14ac:dyDescent="0.2">
      <c r="A1033" s="9"/>
      <c r="B1033" s="62"/>
      <c r="C1033" s="50"/>
      <c r="D1033" s="51"/>
      <c r="E1033" s="9"/>
      <c r="F1033" s="5"/>
      <c r="G1033" s="5"/>
    </row>
    <row r="1034" spans="1:7" s="56" customFormat="1" x14ac:dyDescent="0.2">
      <c r="A1034" s="9"/>
      <c r="B1034" s="62"/>
      <c r="C1034" s="50"/>
      <c r="D1034" s="51"/>
      <c r="E1034" s="9"/>
      <c r="F1034" s="5"/>
      <c r="G1034" s="5"/>
    </row>
    <row r="1035" spans="1:7" s="56" customFormat="1" x14ac:dyDescent="0.2">
      <c r="A1035" s="9"/>
      <c r="B1035" s="62"/>
      <c r="C1035" s="50"/>
      <c r="D1035" s="51"/>
      <c r="E1035" s="9"/>
      <c r="F1035" s="5"/>
      <c r="G1035" s="5"/>
    </row>
    <row r="1036" spans="1:7" s="56" customFormat="1" x14ac:dyDescent="0.2">
      <c r="A1036" s="9"/>
      <c r="B1036" s="62"/>
      <c r="C1036" s="50"/>
      <c r="D1036" s="51"/>
      <c r="E1036" s="9"/>
      <c r="F1036" s="5"/>
      <c r="G1036" s="5"/>
    </row>
    <row r="1037" spans="1:7" s="56" customFormat="1" x14ac:dyDescent="0.2">
      <c r="A1037" s="9"/>
      <c r="B1037" s="62"/>
      <c r="C1037" s="50"/>
      <c r="D1037" s="51"/>
      <c r="E1037" s="9"/>
      <c r="F1037" s="5"/>
      <c r="G1037" s="5"/>
    </row>
    <row r="1038" spans="1:7" s="56" customFormat="1" x14ac:dyDescent="0.2">
      <c r="A1038" s="9"/>
      <c r="B1038" s="62"/>
      <c r="C1038" s="50"/>
      <c r="D1038" s="51"/>
      <c r="E1038" s="9"/>
      <c r="F1038" s="5"/>
      <c r="G1038" s="5"/>
    </row>
    <row r="1039" spans="1:7" s="56" customFormat="1" x14ac:dyDescent="0.2">
      <c r="A1039" s="9"/>
      <c r="B1039" s="62"/>
      <c r="C1039" s="50"/>
      <c r="D1039" s="51"/>
      <c r="E1039" s="9"/>
      <c r="F1039" s="5"/>
      <c r="G1039" s="5"/>
    </row>
    <row r="1040" spans="1:7" s="56" customFormat="1" x14ac:dyDescent="0.2">
      <c r="A1040" s="9"/>
      <c r="B1040" s="62"/>
      <c r="C1040" s="50"/>
      <c r="D1040" s="51"/>
      <c r="E1040" s="9"/>
      <c r="F1040" s="5"/>
      <c r="G1040" s="5"/>
    </row>
    <row r="1041" spans="1:7" s="56" customFormat="1" x14ac:dyDescent="0.2">
      <c r="A1041" s="9"/>
      <c r="B1041" s="62"/>
      <c r="C1041" s="50"/>
      <c r="D1041" s="51"/>
      <c r="E1041" s="9"/>
      <c r="F1041" s="5"/>
      <c r="G1041" s="5"/>
    </row>
    <row r="1042" spans="1:7" s="56" customFormat="1" x14ac:dyDescent="0.2">
      <c r="A1042" s="9"/>
      <c r="B1042" s="62"/>
      <c r="C1042" s="50"/>
      <c r="D1042" s="51"/>
      <c r="E1042" s="9"/>
      <c r="F1042" s="5"/>
      <c r="G1042" s="5"/>
    </row>
    <row r="1043" spans="1:7" s="56" customFormat="1" x14ac:dyDescent="0.2">
      <c r="A1043" s="9"/>
      <c r="B1043" s="62"/>
      <c r="C1043" s="50"/>
      <c r="D1043" s="51"/>
      <c r="E1043" s="9"/>
      <c r="F1043" s="5"/>
      <c r="G1043" s="5"/>
    </row>
    <row r="1044" spans="1:7" s="56" customFormat="1" x14ac:dyDescent="0.2">
      <c r="A1044" s="9"/>
      <c r="B1044" s="62"/>
      <c r="C1044" s="50"/>
      <c r="D1044" s="51"/>
      <c r="E1044" s="9"/>
      <c r="F1044" s="5"/>
      <c r="G1044" s="5"/>
    </row>
    <row r="1045" spans="1:7" s="56" customFormat="1" x14ac:dyDescent="0.2">
      <c r="A1045" s="9"/>
      <c r="B1045" s="62"/>
      <c r="C1045" s="50"/>
      <c r="D1045" s="51"/>
      <c r="E1045" s="9"/>
      <c r="F1045" s="5"/>
      <c r="G1045" s="5"/>
    </row>
    <row r="1046" spans="1:7" s="56" customFormat="1" x14ac:dyDescent="0.2">
      <c r="A1046" s="9"/>
      <c r="B1046" s="62"/>
      <c r="C1046" s="50"/>
      <c r="D1046" s="51"/>
      <c r="E1046" s="9"/>
      <c r="F1046" s="5"/>
      <c r="G1046" s="5"/>
    </row>
    <row r="1047" spans="1:7" s="56" customFormat="1" x14ac:dyDescent="0.2">
      <c r="A1047" s="9"/>
      <c r="B1047" s="62"/>
      <c r="C1047" s="50"/>
      <c r="D1047" s="51"/>
      <c r="E1047" s="9"/>
      <c r="F1047" s="5"/>
      <c r="G1047" s="5"/>
    </row>
    <row r="1048" spans="1:7" s="56" customFormat="1" x14ac:dyDescent="0.2">
      <c r="A1048" s="9"/>
      <c r="B1048" s="62"/>
      <c r="C1048" s="50"/>
      <c r="D1048" s="51"/>
      <c r="E1048" s="9"/>
      <c r="F1048" s="5"/>
      <c r="G1048" s="5"/>
    </row>
    <row r="1049" spans="1:7" s="56" customFormat="1" x14ac:dyDescent="0.2">
      <c r="A1049" s="9"/>
      <c r="B1049" s="62"/>
      <c r="C1049" s="50"/>
      <c r="D1049" s="51"/>
      <c r="E1049" s="9"/>
      <c r="F1049" s="5"/>
      <c r="G1049" s="5"/>
    </row>
    <row r="1050" spans="1:7" s="56" customFormat="1" x14ac:dyDescent="0.2">
      <c r="A1050" s="9"/>
      <c r="B1050" s="62"/>
      <c r="C1050" s="50"/>
      <c r="D1050" s="51"/>
      <c r="E1050" s="9"/>
      <c r="F1050" s="5"/>
      <c r="G1050" s="5"/>
    </row>
    <row r="1051" spans="1:7" s="56" customFormat="1" x14ac:dyDescent="0.2">
      <c r="A1051" s="9"/>
      <c r="B1051" s="62"/>
      <c r="C1051" s="50"/>
      <c r="D1051" s="51"/>
      <c r="E1051" s="9"/>
      <c r="F1051" s="5"/>
      <c r="G1051" s="5"/>
    </row>
    <row r="1052" spans="1:7" s="56" customFormat="1" x14ac:dyDescent="0.2">
      <c r="A1052" s="9"/>
      <c r="B1052" s="62"/>
      <c r="C1052" s="50"/>
      <c r="D1052" s="51"/>
      <c r="E1052" s="9"/>
      <c r="F1052" s="5"/>
      <c r="G1052" s="5"/>
    </row>
    <row r="1053" spans="1:7" s="56" customFormat="1" x14ac:dyDescent="0.2">
      <c r="A1053" s="9"/>
      <c r="B1053" s="62"/>
      <c r="C1053" s="50"/>
      <c r="D1053" s="51"/>
      <c r="E1053" s="9"/>
      <c r="F1053" s="5"/>
      <c r="G1053" s="5"/>
    </row>
    <row r="1054" spans="1:7" s="56" customFormat="1" x14ac:dyDescent="0.2">
      <c r="A1054" s="9"/>
      <c r="B1054" s="62"/>
      <c r="C1054" s="50"/>
      <c r="D1054" s="51"/>
      <c r="E1054" s="9"/>
      <c r="F1054" s="5"/>
      <c r="G1054" s="5"/>
    </row>
    <row r="1055" spans="1:7" s="56" customFormat="1" x14ac:dyDescent="0.2">
      <c r="A1055" s="9"/>
      <c r="B1055" s="62"/>
      <c r="C1055" s="50"/>
      <c r="D1055" s="51"/>
      <c r="E1055" s="9"/>
      <c r="F1055" s="5"/>
      <c r="G1055" s="5"/>
    </row>
    <row r="1056" spans="1:7" s="56" customFormat="1" x14ac:dyDescent="0.2">
      <c r="A1056" s="9"/>
      <c r="B1056" s="62"/>
      <c r="C1056" s="50"/>
      <c r="D1056" s="51"/>
      <c r="E1056" s="9"/>
      <c r="F1056" s="5"/>
      <c r="G1056" s="5"/>
    </row>
    <row r="1057" spans="1:7" s="56" customFormat="1" x14ac:dyDescent="0.2">
      <c r="A1057" s="9"/>
      <c r="B1057" s="62"/>
      <c r="C1057" s="50"/>
      <c r="D1057" s="51"/>
      <c r="E1057" s="9"/>
      <c r="F1057" s="5"/>
      <c r="G1057" s="5"/>
    </row>
    <row r="1058" spans="1:7" s="56" customFormat="1" x14ac:dyDescent="0.2">
      <c r="A1058" s="9"/>
      <c r="B1058" s="62"/>
      <c r="C1058" s="50"/>
      <c r="D1058" s="51"/>
      <c r="E1058" s="9"/>
      <c r="F1058" s="5"/>
      <c r="G1058" s="5"/>
    </row>
    <row r="1059" spans="1:7" s="56" customFormat="1" x14ac:dyDescent="0.2">
      <c r="A1059" s="9"/>
      <c r="B1059" s="62"/>
      <c r="C1059" s="50"/>
      <c r="D1059" s="51"/>
      <c r="E1059" s="9"/>
      <c r="F1059" s="5"/>
      <c r="G1059" s="5"/>
    </row>
    <row r="1060" spans="1:7" s="56" customFormat="1" x14ac:dyDescent="0.2">
      <c r="A1060" s="9"/>
      <c r="B1060" s="62"/>
      <c r="C1060" s="50"/>
      <c r="D1060" s="51"/>
      <c r="E1060" s="9"/>
      <c r="F1060" s="5"/>
      <c r="G1060" s="5"/>
    </row>
    <row r="1061" spans="1:7" s="56" customFormat="1" x14ac:dyDescent="0.2">
      <c r="A1061" s="9"/>
      <c r="B1061" s="62"/>
      <c r="C1061" s="50"/>
      <c r="D1061" s="51"/>
      <c r="E1061" s="9"/>
      <c r="F1061" s="5"/>
      <c r="G1061" s="5"/>
    </row>
    <row r="1062" spans="1:7" s="56" customFormat="1" x14ac:dyDescent="0.2">
      <c r="A1062" s="9"/>
      <c r="B1062" s="62"/>
      <c r="C1062" s="50"/>
      <c r="D1062" s="51"/>
      <c r="E1062" s="9"/>
      <c r="F1062" s="5"/>
      <c r="G1062" s="5"/>
    </row>
    <row r="1063" spans="1:7" s="56" customFormat="1" x14ac:dyDescent="0.2">
      <c r="A1063" s="9"/>
      <c r="B1063" s="62"/>
      <c r="C1063" s="50"/>
      <c r="D1063" s="51"/>
      <c r="E1063" s="9"/>
      <c r="F1063" s="5"/>
      <c r="G1063" s="5"/>
    </row>
    <row r="1064" spans="1:7" s="56" customFormat="1" x14ac:dyDescent="0.2">
      <c r="A1064" s="9"/>
      <c r="B1064" s="62"/>
      <c r="C1064" s="50"/>
      <c r="D1064" s="51"/>
      <c r="E1064" s="9"/>
      <c r="F1064" s="5"/>
      <c r="G1064" s="5"/>
    </row>
    <row r="1065" spans="1:7" s="56" customFormat="1" x14ac:dyDescent="0.2">
      <c r="A1065" s="9"/>
      <c r="B1065" s="62"/>
      <c r="C1065" s="50"/>
      <c r="D1065" s="51"/>
      <c r="E1065" s="9"/>
      <c r="F1065" s="5"/>
      <c r="G1065" s="5"/>
    </row>
    <row r="1066" spans="1:7" s="56" customFormat="1" x14ac:dyDescent="0.2">
      <c r="A1066" s="9"/>
      <c r="B1066" s="62"/>
      <c r="C1066" s="50"/>
      <c r="D1066" s="51"/>
      <c r="E1066" s="9"/>
      <c r="F1066" s="5"/>
      <c r="G1066" s="5"/>
    </row>
    <row r="1067" spans="1:7" s="56" customFormat="1" x14ac:dyDescent="0.2">
      <c r="A1067" s="9"/>
      <c r="B1067" s="62"/>
      <c r="C1067" s="50"/>
      <c r="D1067" s="51"/>
      <c r="E1067" s="9"/>
      <c r="F1067" s="5"/>
      <c r="G1067" s="5"/>
    </row>
    <row r="1068" spans="1:7" s="56" customFormat="1" x14ac:dyDescent="0.2">
      <c r="A1068" s="9"/>
      <c r="B1068" s="62"/>
      <c r="C1068" s="50"/>
      <c r="D1068" s="51"/>
      <c r="E1068" s="9"/>
      <c r="F1068" s="5"/>
      <c r="G1068" s="5"/>
    </row>
    <row r="1069" spans="1:7" s="56" customFormat="1" x14ac:dyDescent="0.2">
      <c r="A1069" s="9"/>
      <c r="B1069" s="62"/>
      <c r="C1069" s="50"/>
      <c r="D1069" s="51"/>
      <c r="E1069" s="9"/>
      <c r="F1069" s="5"/>
      <c r="G1069" s="5"/>
    </row>
    <row r="1070" spans="1:7" s="56" customFormat="1" x14ac:dyDescent="0.2">
      <c r="A1070" s="9"/>
      <c r="B1070" s="62"/>
      <c r="C1070" s="50"/>
      <c r="D1070" s="51"/>
      <c r="E1070" s="9"/>
      <c r="F1070" s="5"/>
      <c r="G1070" s="5"/>
    </row>
    <row r="1071" spans="1:7" s="56" customFormat="1" x14ac:dyDescent="0.2">
      <c r="A1071" s="9"/>
      <c r="B1071" s="62"/>
      <c r="C1071" s="50"/>
      <c r="D1071" s="51"/>
      <c r="E1071" s="9"/>
      <c r="F1071" s="5"/>
      <c r="G1071" s="5"/>
    </row>
    <row r="1072" spans="1:7" s="56" customFormat="1" x14ac:dyDescent="0.2">
      <c r="A1072" s="9"/>
      <c r="B1072" s="62"/>
      <c r="C1072" s="50"/>
      <c r="D1072" s="51"/>
      <c r="E1072" s="9"/>
      <c r="F1072" s="5"/>
      <c r="G1072" s="5"/>
    </row>
    <row r="1073" spans="1:7" s="56" customFormat="1" x14ac:dyDescent="0.2">
      <c r="A1073" s="9"/>
      <c r="B1073" s="62"/>
      <c r="C1073" s="50"/>
      <c r="D1073" s="51"/>
      <c r="E1073" s="9"/>
      <c r="F1073" s="5"/>
      <c r="G1073" s="5"/>
    </row>
    <row r="1074" spans="1:7" s="56" customFormat="1" x14ac:dyDescent="0.2">
      <c r="A1074" s="9"/>
      <c r="B1074" s="62"/>
      <c r="C1074" s="50"/>
      <c r="D1074" s="51"/>
      <c r="E1074" s="9"/>
      <c r="F1074" s="5"/>
      <c r="G1074" s="5"/>
    </row>
    <row r="1075" spans="1:7" s="56" customFormat="1" x14ac:dyDescent="0.2">
      <c r="A1075" s="9"/>
      <c r="B1075" s="62"/>
      <c r="C1075" s="50"/>
      <c r="D1075" s="51"/>
      <c r="E1075" s="9"/>
      <c r="F1075" s="5"/>
      <c r="G1075" s="5"/>
    </row>
    <row r="1076" spans="1:7" s="56" customFormat="1" x14ac:dyDescent="0.2">
      <c r="A1076" s="9"/>
      <c r="B1076" s="62"/>
      <c r="C1076" s="50"/>
      <c r="D1076" s="51"/>
      <c r="E1076" s="9"/>
      <c r="F1076" s="5"/>
      <c r="G1076" s="5"/>
    </row>
    <row r="1077" spans="1:7" s="56" customFormat="1" x14ac:dyDescent="0.2">
      <c r="A1077" s="9"/>
      <c r="B1077" s="62"/>
      <c r="C1077" s="50"/>
      <c r="D1077" s="51"/>
      <c r="E1077" s="9"/>
      <c r="F1077" s="5"/>
      <c r="G1077" s="5"/>
    </row>
    <row r="1078" spans="1:7" s="56" customFormat="1" x14ac:dyDescent="0.2">
      <c r="A1078" s="9"/>
      <c r="B1078" s="62"/>
      <c r="C1078" s="50"/>
      <c r="D1078" s="51"/>
      <c r="E1078" s="9"/>
      <c r="F1078" s="5"/>
      <c r="G1078" s="5"/>
    </row>
    <row r="1079" spans="1:7" s="56" customFormat="1" x14ac:dyDescent="0.2">
      <c r="A1079" s="9"/>
      <c r="B1079" s="62"/>
      <c r="C1079" s="50"/>
      <c r="D1079" s="51"/>
      <c r="E1079" s="9"/>
      <c r="F1079" s="5"/>
      <c r="G1079" s="5"/>
    </row>
    <row r="1080" spans="1:7" s="56" customFormat="1" x14ac:dyDescent="0.2">
      <c r="A1080" s="9"/>
      <c r="B1080" s="62"/>
      <c r="C1080" s="50"/>
      <c r="D1080" s="51"/>
      <c r="E1080" s="9"/>
      <c r="F1080" s="5"/>
      <c r="G1080" s="5"/>
    </row>
    <row r="1081" spans="1:7" s="56" customFormat="1" x14ac:dyDescent="0.2">
      <c r="A1081" s="9"/>
      <c r="B1081" s="62"/>
      <c r="C1081" s="50"/>
      <c r="D1081" s="51"/>
      <c r="E1081" s="9"/>
      <c r="F1081" s="5"/>
      <c r="G1081" s="5"/>
    </row>
    <row r="1082" spans="1:7" s="56" customFormat="1" x14ac:dyDescent="0.2">
      <c r="A1082" s="9"/>
      <c r="B1082" s="62"/>
      <c r="C1082" s="50"/>
      <c r="D1082" s="51"/>
      <c r="E1082" s="9"/>
      <c r="F1082" s="5"/>
      <c r="G1082" s="5"/>
    </row>
    <row r="1083" spans="1:7" s="56" customFormat="1" x14ac:dyDescent="0.2">
      <c r="A1083" s="9"/>
      <c r="B1083" s="62"/>
      <c r="C1083" s="50"/>
      <c r="D1083" s="51"/>
      <c r="E1083" s="9"/>
      <c r="F1083" s="5"/>
      <c r="G1083" s="5"/>
    </row>
    <row r="1084" spans="1:7" s="56" customFormat="1" x14ac:dyDescent="0.2">
      <c r="A1084" s="9"/>
      <c r="B1084" s="62"/>
      <c r="C1084" s="50"/>
      <c r="D1084" s="51"/>
      <c r="E1084" s="9"/>
      <c r="F1084" s="5"/>
      <c r="G1084" s="5"/>
    </row>
    <row r="1085" spans="1:7" s="56" customFormat="1" x14ac:dyDescent="0.2">
      <c r="A1085" s="9"/>
      <c r="B1085" s="62"/>
      <c r="C1085" s="50"/>
      <c r="D1085" s="51"/>
      <c r="E1085" s="9"/>
      <c r="F1085" s="5"/>
      <c r="G1085" s="5"/>
    </row>
    <row r="1086" spans="1:7" s="56" customFormat="1" x14ac:dyDescent="0.2">
      <c r="A1086" s="9"/>
      <c r="B1086" s="62"/>
      <c r="C1086" s="50"/>
      <c r="D1086" s="51"/>
      <c r="E1086" s="9"/>
      <c r="F1086" s="5"/>
      <c r="G1086" s="5"/>
    </row>
    <row r="1087" spans="1:7" s="56" customFormat="1" x14ac:dyDescent="0.2">
      <c r="A1087" s="9"/>
      <c r="B1087" s="62"/>
      <c r="C1087" s="50"/>
      <c r="D1087" s="51"/>
      <c r="E1087" s="9"/>
      <c r="F1087" s="5"/>
      <c r="G1087" s="5"/>
    </row>
    <row r="1088" spans="1:7" s="56" customFormat="1" x14ac:dyDescent="0.2">
      <c r="A1088" s="9"/>
      <c r="B1088" s="62"/>
      <c r="C1088" s="50"/>
      <c r="D1088" s="51"/>
      <c r="E1088" s="9"/>
      <c r="F1088" s="5"/>
      <c r="G1088" s="5"/>
    </row>
    <row r="1089" spans="1:7" s="56" customFormat="1" x14ac:dyDescent="0.2">
      <c r="A1089" s="9"/>
      <c r="B1089" s="62"/>
      <c r="C1089" s="50"/>
      <c r="D1089" s="51"/>
      <c r="E1089" s="9"/>
      <c r="F1089" s="5"/>
      <c r="G1089" s="5"/>
    </row>
    <row r="1090" spans="1:7" s="56" customFormat="1" x14ac:dyDescent="0.2">
      <c r="A1090" s="9"/>
      <c r="B1090" s="62"/>
      <c r="C1090" s="50"/>
      <c r="D1090" s="51"/>
      <c r="E1090" s="9"/>
      <c r="F1090" s="5"/>
      <c r="G1090" s="5"/>
    </row>
    <row r="1091" spans="1:7" s="56" customFormat="1" x14ac:dyDescent="0.2">
      <c r="A1091" s="9"/>
      <c r="B1091" s="62"/>
      <c r="C1091" s="50"/>
      <c r="D1091" s="51"/>
      <c r="E1091" s="9"/>
      <c r="F1091" s="5"/>
      <c r="G1091" s="5"/>
    </row>
    <row r="1092" spans="1:7" s="56" customFormat="1" x14ac:dyDescent="0.2">
      <c r="A1092" s="9"/>
      <c r="B1092" s="62"/>
      <c r="C1092" s="50"/>
      <c r="D1092" s="51"/>
      <c r="E1092" s="9"/>
      <c r="F1092" s="5"/>
      <c r="G1092" s="5"/>
    </row>
    <row r="1093" spans="1:7" s="56" customFormat="1" x14ac:dyDescent="0.2">
      <c r="A1093" s="9"/>
      <c r="B1093" s="62"/>
      <c r="C1093" s="50"/>
      <c r="D1093" s="51"/>
      <c r="E1093" s="9"/>
      <c r="F1093" s="5"/>
      <c r="G1093" s="5"/>
    </row>
    <row r="1094" spans="1:7" s="56" customFormat="1" x14ac:dyDescent="0.2">
      <c r="A1094" s="9"/>
      <c r="B1094" s="62"/>
      <c r="C1094" s="50"/>
      <c r="D1094" s="51"/>
      <c r="E1094" s="9"/>
      <c r="F1094" s="5"/>
      <c r="G1094" s="5"/>
    </row>
    <row r="1095" spans="1:7" s="56" customFormat="1" x14ac:dyDescent="0.2">
      <c r="A1095" s="9"/>
      <c r="B1095" s="62"/>
      <c r="C1095" s="50"/>
      <c r="D1095" s="51"/>
      <c r="E1095" s="9"/>
      <c r="F1095" s="5"/>
      <c r="G1095" s="5"/>
    </row>
    <row r="1096" spans="1:7" s="56" customFormat="1" x14ac:dyDescent="0.2">
      <c r="A1096" s="9"/>
      <c r="B1096" s="62"/>
      <c r="C1096" s="50"/>
      <c r="D1096" s="51"/>
      <c r="E1096" s="9"/>
      <c r="F1096" s="5"/>
      <c r="G1096" s="5"/>
    </row>
    <row r="1097" spans="1:7" s="56" customFormat="1" x14ac:dyDescent="0.2">
      <c r="A1097" s="9"/>
      <c r="B1097" s="62"/>
      <c r="C1097" s="50"/>
      <c r="D1097" s="51"/>
      <c r="E1097" s="9"/>
      <c r="F1097" s="5"/>
      <c r="G1097" s="5"/>
    </row>
    <row r="1098" spans="1:7" s="56" customFormat="1" x14ac:dyDescent="0.2">
      <c r="A1098" s="9"/>
      <c r="B1098" s="62"/>
      <c r="C1098" s="50"/>
      <c r="D1098" s="51"/>
      <c r="E1098" s="9"/>
      <c r="F1098" s="5"/>
      <c r="G1098" s="5"/>
    </row>
    <row r="1099" spans="1:7" s="56" customFormat="1" x14ac:dyDescent="0.2">
      <c r="A1099" s="9"/>
      <c r="B1099" s="62"/>
      <c r="C1099" s="50"/>
      <c r="D1099" s="51"/>
      <c r="E1099" s="9"/>
      <c r="F1099" s="5"/>
      <c r="G1099" s="5"/>
    </row>
    <row r="1100" spans="1:7" s="56" customFormat="1" x14ac:dyDescent="0.2">
      <c r="A1100" s="9"/>
      <c r="B1100" s="62"/>
      <c r="C1100" s="50"/>
      <c r="D1100" s="51"/>
      <c r="E1100" s="9"/>
      <c r="F1100" s="5"/>
      <c r="G1100" s="5"/>
    </row>
    <row r="1101" spans="1:7" s="56" customFormat="1" x14ac:dyDescent="0.2">
      <c r="A1101" s="9"/>
      <c r="B1101" s="62"/>
      <c r="C1101" s="50"/>
      <c r="D1101" s="51"/>
      <c r="E1101" s="9"/>
      <c r="F1101" s="5"/>
      <c r="G1101" s="5"/>
    </row>
    <row r="1102" spans="1:7" s="56" customFormat="1" x14ac:dyDescent="0.2">
      <c r="A1102" s="9"/>
      <c r="B1102" s="62"/>
      <c r="C1102" s="50"/>
      <c r="D1102" s="51"/>
      <c r="E1102" s="9"/>
      <c r="F1102" s="5"/>
      <c r="G1102" s="5"/>
    </row>
    <row r="1103" spans="1:7" s="56" customFormat="1" x14ac:dyDescent="0.2">
      <c r="A1103" s="9"/>
      <c r="B1103" s="62"/>
      <c r="C1103" s="50"/>
      <c r="D1103" s="51"/>
      <c r="E1103" s="9"/>
      <c r="F1103" s="5"/>
      <c r="G1103" s="5"/>
    </row>
    <row r="1104" spans="1:7" s="56" customFormat="1" x14ac:dyDescent="0.2">
      <c r="A1104" s="9"/>
      <c r="B1104" s="62"/>
      <c r="C1104" s="50"/>
      <c r="D1104" s="51"/>
      <c r="E1104" s="9"/>
      <c r="F1104" s="5"/>
      <c r="G1104" s="5"/>
    </row>
    <row r="1105" spans="1:7" s="56" customFormat="1" x14ac:dyDescent="0.2">
      <c r="A1105" s="9"/>
      <c r="B1105" s="62"/>
      <c r="C1105" s="50"/>
      <c r="D1105" s="51"/>
      <c r="E1105" s="9"/>
      <c r="F1105" s="5"/>
      <c r="G1105" s="5"/>
    </row>
    <row r="1106" spans="1:7" s="56" customFormat="1" x14ac:dyDescent="0.2">
      <c r="A1106" s="9"/>
      <c r="B1106" s="62"/>
      <c r="C1106" s="50"/>
      <c r="D1106" s="51"/>
      <c r="E1106" s="9"/>
      <c r="F1106" s="5"/>
      <c r="G1106" s="5"/>
    </row>
    <row r="1107" spans="1:7" s="56" customFormat="1" x14ac:dyDescent="0.2">
      <c r="A1107" s="9"/>
      <c r="B1107" s="62"/>
      <c r="C1107" s="50"/>
      <c r="D1107" s="51"/>
      <c r="E1107" s="9"/>
      <c r="F1107" s="5"/>
      <c r="G1107" s="5"/>
    </row>
    <row r="1108" spans="1:7" s="56" customFormat="1" x14ac:dyDescent="0.2">
      <c r="A1108" s="9"/>
      <c r="B1108" s="62"/>
      <c r="C1108" s="50"/>
      <c r="D1108" s="51"/>
      <c r="E1108" s="9"/>
      <c r="F1108" s="5"/>
      <c r="G1108" s="5"/>
    </row>
    <row r="1109" spans="1:7" s="56" customFormat="1" x14ac:dyDescent="0.2">
      <c r="A1109" s="9"/>
      <c r="B1109" s="62"/>
      <c r="C1109" s="50"/>
      <c r="D1109" s="51"/>
      <c r="E1109" s="9"/>
      <c r="F1109" s="5"/>
      <c r="G1109" s="5"/>
    </row>
    <row r="1110" spans="1:7" s="56" customFormat="1" x14ac:dyDescent="0.2">
      <c r="A1110" s="9"/>
      <c r="B1110" s="62"/>
      <c r="C1110" s="50"/>
      <c r="D1110" s="51"/>
      <c r="E1110" s="9"/>
      <c r="F1110" s="5"/>
      <c r="G1110" s="5"/>
    </row>
    <row r="1111" spans="1:7" s="56" customFormat="1" x14ac:dyDescent="0.2">
      <c r="A1111" s="9"/>
      <c r="B1111" s="62"/>
      <c r="C1111" s="50"/>
      <c r="D1111" s="51"/>
      <c r="E1111" s="9"/>
      <c r="F1111" s="5"/>
      <c r="G1111" s="5"/>
    </row>
    <row r="1112" spans="1:7" s="56" customFormat="1" x14ac:dyDescent="0.2">
      <c r="A1112" s="9"/>
      <c r="B1112" s="62"/>
      <c r="C1112" s="50"/>
      <c r="D1112" s="51"/>
      <c r="E1112" s="9"/>
      <c r="F1112" s="5"/>
      <c r="G1112" s="5"/>
    </row>
    <row r="1113" spans="1:7" s="56" customFormat="1" x14ac:dyDescent="0.2">
      <c r="A1113" s="9"/>
      <c r="B1113" s="62"/>
      <c r="C1113" s="50"/>
      <c r="D1113" s="51"/>
      <c r="E1113" s="9"/>
      <c r="F1113" s="5"/>
      <c r="G1113" s="5"/>
    </row>
    <row r="1114" spans="1:7" s="56" customFormat="1" x14ac:dyDescent="0.2">
      <c r="A1114" s="9"/>
      <c r="B1114" s="62"/>
      <c r="C1114" s="50"/>
      <c r="D1114" s="51"/>
      <c r="E1114" s="9"/>
      <c r="F1114" s="5"/>
      <c r="G1114" s="5"/>
    </row>
    <row r="1115" spans="1:7" s="56" customFormat="1" x14ac:dyDescent="0.2">
      <c r="A1115" s="9"/>
      <c r="B1115" s="62"/>
      <c r="C1115" s="50"/>
      <c r="D1115" s="51"/>
      <c r="E1115" s="9"/>
      <c r="F1115" s="5"/>
      <c r="G1115" s="5"/>
    </row>
    <row r="1116" spans="1:7" s="56" customFormat="1" x14ac:dyDescent="0.2">
      <c r="A1116" s="9"/>
      <c r="B1116" s="62"/>
      <c r="C1116" s="50"/>
      <c r="D1116" s="51"/>
      <c r="E1116" s="9"/>
      <c r="F1116" s="5"/>
      <c r="G1116" s="5"/>
    </row>
    <row r="1117" spans="1:7" s="56" customFormat="1" x14ac:dyDescent="0.2">
      <c r="A1117" s="9"/>
      <c r="B1117" s="62"/>
      <c r="C1117" s="50"/>
      <c r="D1117" s="51"/>
      <c r="E1117" s="9"/>
      <c r="F1117" s="5"/>
      <c r="G1117" s="5"/>
    </row>
    <row r="1118" spans="1:7" s="56" customFormat="1" x14ac:dyDescent="0.2">
      <c r="A1118" s="9"/>
      <c r="B1118" s="62"/>
      <c r="C1118" s="50"/>
      <c r="D1118" s="51"/>
      <c r="E1118" s="9"/>
      <c r="F1118" s="5"/>
      <c r="G1118" s="5"/>
    </row>
    <row r="1119" spans="1:7" s="56" customFormat="1" x14ac:dyDescent="0.2">
      <c r="A1119" s="9"/>
      <c r="B1119" s="62"/>
      <c r="C1119" s="50"/>
      <c r="D1119" s="51"/>
      <c r="E1119" s="9"/>
      <c r="F1119" s="5"/>
      <c r="G1119" s="5"/>
    </row>
    <row r="1120" spans="1:7" s="56" customFormat="1" x14ac:dyDescent="0.2">
      <c r="A1120" s="9"/>
      <c r="B1120" s="62"/>
      <c r="C1120" s="50"/>
      <c r="D1120" s="51"/>
      <c r="E1120" s="9"/>
      <c r="F1120" s="5"/>
      <c r="G1120" s="5"/>
    </row>
    <row r="1121" spans="1:7" s="56" customFormat="1" x14ac:dyDescent="0.2">
      <c r="A1121" s="9"/>
      <c r="B1121" s="62"/>
      <c r="C1121" s="50"/>
      <c r="D1121" s="51"/>
      <c r="E1121" s="9"/>
      <c r="F1121" s="5"/>
      <c r="G1121" s="5"/>
    </row>
    <row r="1122" spans="1:7" s="56" customFormat="1" x14ac:dyDescent="0.2">
      <c r="A1122" s="9"/>
      <c r="B1122" s="62"/>
      <c r="C1122" s="50"/>
      <c r="D1122" s="51"/>
      <c r="E1122" s="9"/>
      <c r="F1122" s="5"/>
      <c r="G1122" s="5"/>
    </row>
    <row r="1123" spans="1:7" s="56" customFormat="1" x14ac:dyDescent="0.2">
      <c r="A1123" s="9"/>
      <c r="B1123" s="62"/>
      <c r="C1123" s="50"/>
      <c r="D1123" s="51"/>
      <c r="E1123" s="9"/>
      <c r="F1123" s="5"/>
      <c r="G1123" s="5"/>
    </row>
    <row r="1124" spans="1:7" s="56" customFormat="1" x14ac:dyDescent="0.2">
      <c r="A1124" s="9"/>
      <c r="B1124" s="62"/>
      <c r="C1124" s="50"/>
      <c r="D1124" s="51"/>
      <c r="E1124" s="9"/>
      <c r="F1124" s="5"/>
      <c r="G1124" s="5"/>
    </row>
    <row r="1125" spans="1:7" s="56" customFormat="1" x14ac:dyDescent="0.2">
      <c r="A1125" s="9"/>
      <c r="B1125" s="62"/>
      <c r="C1125" s="50"/>
      <c r="D1125" s="51"/>
      <c r="E1125" s="9"/>
      <c r="F1125" s="5"/>
      <c r="G1125" s="5"/>
    </row>
    <row r="1126" spans="1:7" s="56" customFormat="1" x14ac:dyDescent="0.2">
      <c r="A1126" s="9"/>
      <c r="B1126" s="62"/>
      <c r="C1126" s="50"/>
      <c r="D1126" s="51"/>
      <c r="E1126" s="9"/>
      <c r="F1126" s="5"/>
      <c r="G1126" s="5"/>
    </row>
    <row r="1127" spans="1:7" s="56" customFormat="1" x14ac:dyDescent="0.2">
      <c r="A1127" s="9"/>
      <c r="B1127" s="62"/>
      <c r="C1127" s="50"/>
      <c r="D1127" s="51"/>
      <c r="E1127" s="9"/>
      <c r="F1127" s="5"/>
      <c r="G1127" s="5"/>
    </row>
    <row r="1128" spans="1:7" s="56" customFormat="1" x14ac:dyDescent="0.2">
      <c r="A1128" s="9"/>
      <c r="B1128" s="62"/>
      <c r="C1128" s="50"/>
      <c r="D1128" s="51"/>
      <c r="E1128" s="9"/>
      <c r="F1128" s="5"/>
      <c r="G1128" s="5"/>
    </row>
    <row r="1129" spans="1:7" s="56" customFormat="1" x14ac:dyDescent="0.2">
      <c r="A1129" s="9"/>
      <c r="B1129" s="62"/>
      <c r="C1129" s="50"/>
      <c r="D1129" s="51"/>
      <c r="E1129" s="9"/>
      <c r="F1129" s="5"/>
      <c r="G1129" s="5"/>
    </row>
    <row r="1130" spans="1:7" s="56" customFormat="1" x14ac:dyDescent="0.2">
      <c r="A1130" s="9"/>
      <c r="B1130" s="62"/>
      <c r="C1130" s="50"/>
      <c r="D1130" s="51"/>
      <c r="E1130" s="9"/>
      <c r="F1130" s="5"/>
      <c r="G1130" s="5"/>
    </row>
    <row r="1131" spans="1:7" s="56" customFormat="1" x14ac:dyDescent="0.2">
      <c r="A1131" s="9"/>
      <c r="B1131" s="62"/>
      <c r="C1131" s="50"/>
      <c r="D1131" s="51"/>
      <c r="E1131" s="9"/>
      <c r="F1131" s="5"/>
      <c r="G1131" s="5"/>
    </row>
    <row r="1132" spans="1:7" s="56" customFormat="1" x14ac:dyDescent="0.2">
      <c r="A1132" s="9"/>
      <c r="B1132" s="62"/>
      <c r="C1132" s="50"/>
      <c r="D1132" s="51"/>
      <c r="E1132" s="9"/>
      <c r="F1132" s="5"/>
      <c r="G1132" s="5"/>
    </row>
    <row r="1133" spans="1:7" s="56" customFormat="1" x14ac:dyDescent="0.2">
      <c r="A1133" s="9"/>
      <c r="B1133" s="62"/>
      <c r="C1133" s="50"/>
      <c r="D1133" s="51"/>
      <c r="E1133" s="9"/>
      <c r="F1133" s="5"/>
      <c r="G1133" s="5"/>
    </row>
    <row r="1134" spans="1:7" s="56" customFormat="1" x14ac:dyDescent="0.2">
      <c r="A1134" s="9"/>
      <c r="B1134" s="62"/>
      <c r="C1134" s="50"/>
      <c r="D1134" s="51"/>
      <c r="E1134" s="9"/>
      <c r="F1134" s="5"/>
      <c r="G1134" s="5"/>
    </row>
    <row r="1135" spans="1:7" s="56" customFormat="1" x14ac:dyDescent="0.2">
      <c r="A1135" s="9"/>
      <c r="B1135" s="62"/>
      <c r="C1135" s="50"/>
      <c r="D1135" s="51"/>
      <c r="E1135" s="9"/>
      <c r="F1135" s="5"/>
      <c r="G1135" s="5"/>
    </row>
    <row r="1136" spans="1:7" s="56" customFormat="1" x14ac:dyDescent="0.2">
      <c r="A1136" s="9"/>
      <c r="B1136" s="62"/>
      <c r="C1136" s="50"/>
      <c r="D1136" s="51"/>
      <c r="E1136" s="9"/>
      <c r="F1136" s="5"/>
      <c r="G1136" s="5"/>
    </row>
    <row r="1137" spans="1:7" s="56" customFormat="1" x14ac:dyDescent="0.2">
      <c r="A1137" s="9"/>
      <c r="B1137" s="62"/>
      <c r="C1137" s="50"/>
      <c r="D1137" s="51"/>
      <c r="E1137" s="9"/>
      <c r="F1137" s="5"/>
      <c r="G1137" s="5"/>
    </row>
    <row r="1138" spans="1:7" s="56" customFormat="1" x14ac:dyDescent="0.2">
      <c r="A1138" s="9"/>
      <c r="B1138" s="62"/>
      <c r="C1138" s="50"/>
      <c r="D1138" s="51"/>
      <c r="E1138" s="9"/>
      <c r="F1138" s="5"/>
      <c r="G1138" s="5"/>
    </row>
    <row r="1139" spans="1:7" s="56" customFormat="1" x14ac:dyDescent="0.2">
      <c r="A1139" s="9"/>
      <c r="B1139" s="62"/>
      <c r="C1139" s="50"/>
      <c r="D1139" s="51"/>
      <c r="E1139" s="9"/>
      <c r="F1139" s="5"/>
      <c r="G1139" s="5"/>
    </row>
    <row r="1140" spans="1:7" s="56" customFormat="1" x14ac:dyDescent="0.2">
      <c r="A1140" s="9"/>
      <c r="B1140" s="62"/>
      <c r="C1140" s="50"/>
      <c r="D1140" s="51"/>
      <c r="E1140" s="9"/>
      <c r="F1140" s="5"/>
      <c r="G1140" s="5"/>
    </row>
    <row r="1141" spans="1:7" s="56" customFormat="1" x14ac:dyDescent="0.2">
      <c r="A1141" s="9"/>
      <c r="B1141" s="62"/>
      <c r="C1141" s="50"/>
      <c r="D1141" s="51"/>
      <c r="E1141" s="9"/>
      <c r="F1141" s="5"/>
      <c r="G1141" s="5"/>
    </row>
    <row r="1142" spans="1:7" s="56" customFormat="1" x14ac:dyDescent="0.2">
      <c r="A1142" s="9"/>
      <c r="B1142" s="62"/>
      <c r="C1142" s="50"/>
      <c r="D1142" s="51"/>
      <c r="E1142" s="9"/>
      <c r="F1142" s="5"/>
      <c r="G1142" s="5"/>
    </row>
    <row r="1143" spans="1:7" s="56" customFormat="1" x14ac:dyDescent="0.2">
      <c r="A1143" s="9"/>
      <c r="B1143" s="62"/>
      <c r="C1143" s="50"/>
      <c r="D1143" s="51"/>
      <c r="E1143" s="9"/>
      <c r="F1143" s="5"/>
      <c r="G1143" s="5"/>
    </row>
    <row r="1144" spans="1:7" s="56" customFormat="1" x14ac:dyDescent="0.2">
      <c r="A1144" s="9"/>
      <c r="B1144" s="62"/>
      <c r="C1144" s="50"/>
      <c r="D1144" s="51"/>
      <c r="E1144" s="9"/>
      <c r="F1144" s="5"/>
      <c r="G1144" s="5"/>
    </row>
    <row r="1145" spans="1:7" s="56" customFormat="1" x14ac:dyDescent="0.2">
      <c r="A1145" s="9"/>
      <c r="B1145" s="62"/>
      <c r="C1145" s="50"/>
      <c r="D1145" s="51"/>
      <c r="E1145" s="9"/>
      <c r="F1145" s="5"/>
      <c r="G1145" s="5"/>
    </row>
    <row r="1146" spans="1:7" s="56" customFormat="1" x14ac:dyDescent="0.2">
      <c r="A1146" s="9"/>
      <c r="B1146" s="62"/>
      <c r="C1146" s="50"/>
      <c r="D1146" s="51"/>
      <c r="E1146" s="9"/>
      <c r="F1146" s="5"/>
      <c r="G1146" s="5"/>
    </row>
    <row r="1147" spans="1:7" s="56" customFormat="1" x14ac:dyDescent="0.2">
      <c r="A1147" s="9"/>
      <c r="B1147" s="62"/>
      <c r="C1147" s="50"/>
      <c r="D1147" s="51"/>
      <c r="E1147" s="9"/>
      <c r="F1147" s="5"/>
      <c r="G1147" s="5"/>
    </row>
    <row r="1148" spans="1:7" s="56" customFormat="1" x14ac:dyDescent="0.2">
      <c r="A1148" s="9"/>
      <c r="B1148" s="62"/>
      <c r="C1148" s="50"/>
      <c r="D1148" s="51"/>
      <c r="E1148" s="9"/>
      <c r="F1148" s="5"/>
      <c r="G1148" s="5"/>
    </row>
    <row r="1149" spans="1:7" s="56" customFormat="1" x14ac:dyDescent="0.2">
      <c r="A1149" s="9"/>
      <c r="B1149" s="62"/>
      <c r="C1149" s="50"/>
      <c r="D1149" s="51"/>
      <c r="E1149" s="9"/>
      <c r="F1149" s="5"/>
      <c r="G1149" s="5"/>
    </row>
    <row r="1150" spans="1:7" s="56" customFormat="1" x14ac:dyDescent="0.2">
      <c r="A1150" s="9"/>
      <c r="B1150" s="62"/>
      <c r="C1150" s="50"/>
      <c r="D1150" s="51"/>
      <c r="E1150" s="9"/>
      <c r="F1150" s="5"/>
      <c r="G1150" s="5"/>
    </row>
    <row r="1151" spans="1:7" s="56" customFormat="1" x14ac:dyDescent="0.2">
      <c r="A1151" s="9"/>
      <c r="B1151" s="62"/>
      <c r="C1151" s="50"/>
      <c r="D1151" s="51"/>
      <c r="E1151" s="9"/>
      <c r="F1151" s="5"/>
      <c r="G1151" s="5"/>
    </row>
    <row r="1152" spans="1:7" s="56" customFormat="1" x14ac:dyDescent="0.2">
      <c r="A1152" s="9"/>
      <c r="B1152" s="62"/>
      <c r="C1152" s="50"/>
      <c r="D1152" s="51"/>
      <c r="E1152" s="9"/>
      <c r="F1152" s="5"/>
      <c r="G1152" s="5"/>
    </row>
    <row r="1153" spans="1:7" s="56" customFormat="1" x14ac:dyDescent="0.2">
      <c r="A1153" s="9"/>
      <c r="B1153" s="62"/>
      <c r="C1153" s="50"/>
      <c r="D1153" s="51"/>
      <c r="E1153" s="9"/>
      <c r="F1153" s="5"/>
      <c r="G1153" s="5"/>
    </row>
    <row r="1154" spans="1:7" s="56" customFormat="1" x14ac:dyDescent="0.2">
      <c r="A1154" s="9"/>
      <c r="B1154" s="62"/>
      <c r="C1154" s="50"/>
      <c r="D1154" s="51"/>
      <c r="E1154" s="9"/>
      <c r="F1154" s="5"/>
      <c r="G1154" s="5"/>
    </row>
    <row r="1155" spans="1:7" s="56" customFormat="1" x14ac:dyDescent="0.2">
      <c r="A1155" s="9"/>
      <c r="B1155" s="62"/>
      <c r="C1155" s="50"/>
      <c r="D1155" s="51"/>
      <c r="E1155" s="9"/>
      <c r="F1155" s="5"/>
      <c r="G1155" s="5"/>
    </row>
    <row r="1156" spans="1:7" s="56" customFormat="1" x14ac:dyDescent="0.2">
      <c r="A1156" s="9"/>
      <c r="B1156" s="62"/>
      <c r="C1156" s="50"/>
      <c r="D1156" s="51"/>
      <c r="E1156" s="9"/>
      <c r="F1156" s="5"/>
      <c r="G1156" s="5"/>
    </row>
    <row r="1157" spans="1:7" s="56" customFormat="1" x14ac:dyDescent="0.2">
      <c r="A1157" s="9"/>
      <c r="B1157" s="62"/>
      <c r="C1157" s="50"/>
      <c r="D1157" s="51"/>
      <c r="E1157" s="9"/>
      <c r="F1157" s="5"/>
      <c r="G1157" s="5"/>
    </row>
    <row r="1158" spans="1:7" s="56" customFormat="1" x14ac:dyDescent="0.2">
      <c r="A1158" s="9"/>
      <c r="B1158" s="62"/>
      <c r="C1158" s="50"/>
      <c r="D1158" s="51"/>
      <c r="E1158" s="9"/>
      <c r="F1158" s="5"/>
      <c r="G1158" s="5"/>
    </row>
    <row r="1159" spans="1:7" s="56" customFormat="1" x14ac:dyDescent="0.2">
      <c r="A1159" s="9"/>
      <c r="B1159" s="62"/>
      <c r="C1159" s="50"/>
      <c r="D1159" s="51"/>
      <c r="E1159" s="9"/>
      <c r="F1159" s="5"/>
      <c r="G1159" s="5"/>
    </row>
    <row r="1160" spans="1:7" s="56" customFormat="1" x14ac:dyDescent="0.2">
      <c r="A1160" s="9"/>
      <c r="B1160" s="62"/>
      <c r="C1160" s="50"/>
      <c r="D1160" s="51"/>
      <c r="E1160" s="9"/>
      <c r="F1160" s="5"/>
      <c r="G1160" s="5"/>
    </row>
    <row r="1161" spans="1:7" s="56" customFormat="1" x14ac:dyDescent="0.2">
      <c r="A1161" s="9"/>
      <c r="B1161" s="62"/>
      <c r="C1161" s="50"/>
      <c r="D1161" s="51"/>
      <c r="E1161" s="9"/>
      <c r="F1161" s="5"/>
      <c r="G1161" s="5"/>
    </row>
    <row r="1162" spans="1:7" s="56" customFormat="1" x14ac:dyDescent="0.2">
      <c r="A1162" s="9"/>
      <c r="B1162" s="62"/>
      <c r="C1162" s="50"/>
      <c r="D1162" s="51"/>
      <c r="E1162" s="9"/>
      <c r="F1162" s="5"/>
      <c r="G1162" s="5"/>
    </row>
    <row r="1163" spans="1:7" s="56" customFormat="1" x14ac:dyDescent="0.2">
      <c r="A1163" s="9"/>
      <c r="B1163" s="62"/>
      <c r="C1163" s="50"/>
      <c r="D1163" s="51"/>
      <c r="E1163" s="9"/>
      <c r="F1163" s="5"/>
      <c r="G1163" s="5"/>
    </row>
    <row r="1164" spans="1:7" s="56" customFormat="1" x14ac:dyDescent="0.2">
      <c r="A1164" s="9"/>
      <c r="B1164" s="62"/>
      <c r="C1164" s="50"/>
      <c r="D1164" s="51"/>
      <c r="E1164" s="9"/>
      <c r="F1164" s="5"/>
      <c r="G1164" s="5"/>
    </row>
    <row r="1165" spans="1:7" s="56" customFormat="1" x14ac:dyDescent="0.2">
      <c r="A1165" s="9"/>
      <c r="B1165" s="62"/>
      <c r="C1165" s="50"/>
      <c r="D1165" s="51"/>
      <c r="E1165" s="9"/>
      <c r="F1165" s="5"/>
      <c r="G1165" s="5"/>
    </row>
    <row r="1166" spans="1:7" s="56" customFormat="1" x14ac:dyDescent="0.2">
      <c r="A1166" s="9"/>
      <c r="B1166" s="62"/>
      <c r="C1166" s="50"/>
      <c r="D1166" s="51"/>
      <c r="E1166" s="9"/>
      <c r="F1166" s="5"/>
      <c r="G1166" s="5"/>
    </row>
    <row r="1167" spans="1:7" s="56" customFormat="1" x14ac:dyDescent="0.2">
      <c r="A1167" s="9"/>
      <c r="B1167" s="62"/>
      <c r="C1167" s="50"/>
      <c r="D1167" s="51"/>
      <c r="E1167" s="9"/>
      <c r="F1167" s="5"/>
      <c r="G1167" s="5"/>
    </row>
    <row r="1168" spans="1:7" s="56" customFormat="1" x14ac:dyDescent="0.2">
      <c r="A1168" s="9"/>
      <c r="B1168" s="62"/>
      <c r="C1168" s="50"/>
      <c r="D1168" s="51"/>
      <c r="E1168" s="9"/>
      <c r="F1168" s="5"/>
      <c r="G1168" s="5"/>
    </row>
    <row r="1169" spans="1:7" s="56" customFormat="1" x14ac:dyDescent="0.2">
      <c r="A1169" s="9"/>
      <c r="B1169" s="62"/>
      <c r="C1169" s="50"/>
      <c r="D1169" s="51"/>
      <c r="E1169" s="9"/>
      <c r="F1169" s="5"/>
      <c r="G1169" s="5"/>
    </row>
    <row r="1170" spans="1:7" s="56" customFormat="1" x14ac:dyDescent="0.2">
      <c r="A1170" s="9"/>
      <c r="B1170" s="62"/>
      <c r="C1170" s="50"/>
      <c r="D1170" s="51"/>
      <c r="E1170" s="9"/>
      <c r="F1170" s="5"/>
      <c r="G1170" s="5"/>
    </row>
    <row r="1171" spans="1:7" s="56" customFormat="1" x14ac:dyDescent="0.2">
      <c r="A1171" s="9"/>
      <c r="B1171" s="62"/>
      <c r="C1171" s="50"/>
      <c r="D1171" s="51"/>
      <c r="E1171" s="9"/>
      <c r="F1171" s="5"/>
      <c r="G1171" s="5"/>
    </row>
    <row r="1172" spans="1:7" s="56" customFormat="1" x14ac:dyDescent="0.2">
      <c r="A1172" s="9"/>
      <c r="B1172" s="62"/>
      <c r="C1172" s="50"/>
      <c r="D1172" s="51"/>
      <c r="E1172" s="9"/>
      <c r="F1172" s="5"/>
      <c r="G1172" s="5"/>
    </row>
    <row r="1173" spans="1:7" s="56" customFormat="1" x14ac:dyDescent="0.2">
      <c r="A1173" s="9"/>
      <c r="B1173" s="62"/>
      <c r="C1173" s="50"/>
      <c r="D1173" s="51"/>
      <c r="E1173" s="9"/>
      <c r="F1173" s="5"/>
      <c r="G1173" s="5"/>
    </row>
    <row r="1174" spans="1:7" s="56" customFormat="1" x14ac:dyDescent="0.2">
      <c r="A1174" s="9"/>
      <c r="B1174" s="62"/>
      <c r="C1174" s="50"/>
      <c r="D1174" s="51"/>
      <c r="E1174" s="9"/>
      <c r="F1174" s="5"/>
      <c r="G1174" s="5"/>
    </row>
    <row r="1175" spans="1:7" s="56" customFormat="1" x14ac:dyDescent="0.2">
      <c r="A1175" s="9"/>
      <c r="B1175" s="62"/>
      <c r="C1175" s="50"/>
      <c r="D1175" s="51"/>
      <c r="E1175" s="9"/>
      <c r="F1175" s="5"/>
      <c r="G1175" s="5"/>
    </row>
    <row r="1176" spans="1:7" s="56" customFormat="1" x14ac:dyDescent="0.2">
      <c r="A1176" s="9"/>
      <c r="B1176" s="62"/>
      <c r="C1176" s="50"/>
      <c r="D1176" s="51"/>
      <c r="E1176" s="9"/>
      <c r="F1176" s="5"/>
      <c r="G1176" s="5"/>
    </row>
    <row r="1177" spans="1:7" s="56" customFormat="1" x14ac:dyDescent="0.2">
      <c r="A1177" s="9"/>
      <c r="B1177" s="62"/>
      <c r="C1177" s="50"/>
      <c r="D1177" s="51"/>
      <c r="E1177" s="9"/>
      <c r="F1177" s="5"/>
      <c r="G1177" s="5"/>
    </row>
    <row r="1178" spans="1:7" s="56" customFormat="1" x14ac:dyDescent="0.2">
      <c r="A1178" s="9"/>
      <c r="B1178" s="62"/>
      <c r="C1178" s="50"/>
      <c r="D1178" s="51"/>
      <c r="E1178" s="9"/>
      <c r="F1178" s="5"/>
      <c r="G1178" s="5"/>
    </row>
    <row r="1179" spans="1:7" s="56" customFormat="1" x14ac:dyDescent="0.2">
      <c r="A1179" s="9"/>
      <c r="B1179" s="62"/>
      <c r="C1179" s="50"/>
      <c r="D1179" s="51"/>
      <c r="E1179" s="9"/>
      <c r="F1179" s="5"/>
      <c r="G1179" s="5"/>
    </row>
    <row r="1180" spans="1:7" s="56" customFormat="1" x14ac:dyDescent="0.2">
      <c r="A1180" s="9"/>
      <c r="B1180" s="62"/>
      <c r="C1180" s="50"/>
      <c r="D1180" s="51"/>
      <c r="E1180" s="9"/>
      <c r="F1180" s="5"/>
      <c r="G1180" s="5"/>
    </row>
    <row r="1181" spans="1:7" s="56" customFormat="1" x14ac:dyDescent="0.2">
      <c r="A1181" s="9"/>
      <c r="B1181" s="62"/>
      <c r="C1181" s="50"/>
      <c r="D1181" s="51"/>
      <c r="E1181" s="9"/>
      <c r="F1181" s="5"/>
      <c r="G1181" s="5"/>
    </row>
    <row r="1182" spans="1:7" s="56" customFormat="1" x14ac:dyDescent="0.2">
      <c r="A1182" s="9"/>
      <c r="B1182" s="62"/>
      <c r="C1182" s="50"/>
      <c r="D1182" s="51"/>
      <c r="E1182" s="9"/>
      <c r="F1182" s="5"/>
      <c r="G1182" s="5"/>
    </row>
    <row r="1183" spans="1:7" s="56" customFormat="1" x14ac:dyDescent="0.2">
      <c r="A1183" s="9"/>
      <c r="B1183" s="62"/>
      <c r="C1183" s="50"/>
      <c r="D1183" s="51"/>
      <c r="E1183" s="9"/>
      <c r="F1183" s="5"/>
      <c r="G1183" s="5"/>
    </row>
    <row r="1184" spans="1:7" s="56" customFormat="1" x14ac:dyDescent="0.2">
      <c r="A1184" s="9"/>
      <c r="B1184" s="62"/>
      <c r="C1184" s="50"/>
      <c r="D1184" s="51"/>
      <c r="E1184" s="9"/>
      <c r="F1184" s="5"/>
      <c r="G1184" s="5"/>
    </row>
    <row r="1185" spans="1:7" s="56" customFormat="1" x14ac:dyDescent="0.2">
      <c r="A1185" s="9"/>
      <c r="B1185" s="62"/>
      <c r="C1185" s="50"/>
      <c r="D1185" s="51"/>
      <c r="E1185" s="9"/>
      <c r="F1185" s="5"/>
      <c r="G1185" s="5"/>
    </row>
    <row r="1186" spans="1:7" s="56" customFormat="1" x14ac:dyDescent="0.2">
      <c r="A1186" s="9"/>
      <c r="B1186" s="62"/>
      <c r="C1186" s="50"/>
      <c r="D1186" s="51"/>
      <c r="E1186" s="9"/>
      <c r="F1186" s="5"/>
      <c r="G1186" s="5"/>
    </row>
    <row r="1187" spans="1:7" s="56" customFormat="1" x14ac:dyDescent="0.2">
      <c r="A1187" s="9"/>
      <c r="B1187" s="62"/>
      <c r="C1187" s="50"/>
      <c r="D1187" s="51"/>
      <c r="E1187" s="9"/>
      <c r="F1187" s="5"/>
      <c r="G1187" s="5"/>
    </row>
    <row r="1188" spans="1:7" s="56" customFormat="1" x14ac:dyDescent="0.2">
      <c r="A1188" s="9"/>
      <c r="B1188" s="62"/>
      <c r="C1188" s="50"/>
      <c r="D1188" s="51"/>
      <c r="E1188" s="9"/>
      <c r="F1188" s="5"/>
      <c r="G1188" s="5"/>
    </row>
    <row r="1189" spans="1:7" s="56" customFormat="1" x14ac:dyDescent="0.2">
      <c r="A1189" s="9"/>
      <c r="B1189" s="62"/>
      <c r="C1189" s="50"/>
      <c r="D1189" s="51"/>
      <c r="E1189" s="9"/>
      <c r="F1189" s="5"/>
      <c r="G1189" s="5"/>
    </row>
    <row r="1190" spans="1:7" s="56" customFormat="1" x14ac:dyDescent="0.2">
      <c r="A1190" s="9"/>
      <c r="B1190" s="62"/>
      <c r="C1190" s="50"/>
      <c r="D1190" s="51"/>
      <c r="E1190" s="9"/>
      <c r="F1190" s="5"/>
      <c r="G1190" s="5"/>
    </row>
    <row r="1191" spans="1:7" s="56" customFormat="1" x14ac:dyDescent="0.2">
      <c r="A1191" s="9"/>
      <c r="B1191" s="62"/>
      <c r="C1191" s="50"/>
      <c r="D1191" s="51"/>
      <c r="E1191" s="9"/>
      <c r="F1191" s="5"/>
      <c r="G1191" s="5"/>
    </row>
    <row r="1192" spans="1:7" s="56" customFormat="1" x14ac:dyDescent="0.2">
      <c r="A1192" s="9"/>
      <c r="B1192" s="62"/>
      <c r="C1192" s="50"/>
      <c r="D1192" s="51"/>
      <c r="E1192" s="9"/>
      <c r="F1192" s="5"/>
      <c r="G1192" s="5"/>
    </row>
    <row r="1193" spans="1:7" s="56" customFormat="1" x14ac:dyDescent="0.2">
      <c r="A1193" s="9"/>
      <c r="B1193" s="62"/>
      <c r="C1193" s="50"/>
      <c r="D1193" s="51"/>
      <c r="E1193" s="9"/>
      <c r="F1193" s="5"/>
      <c r="G1193" s="5"/>
    </row>
    <row r="1194" spans="1:7" s="56" customFormat="1" x14ac:dyDescent="0.2">
      <c r="A1194" s="9"/>
      <c r="B1194" s="62"/>
      <c r="C1194" s="50"/>
      <c r="D1194" s="51"/>
      <c r="E1194" s="9"/>
      <c r="F1194" s="5"/>
      <c r="G1194" s="5"/>
    </row>
    <row r="1195" spans="1:7" s="56" customFormat="1" x14ac:dyDescent="0.2">
      <c r="A1195" s="9"/>
      <c r="B1195" s="62"/>
      <c r="C1195" s="50"/>
      <c r="D1195" s="51"/>
      <c r="E1195" s="9"/>
      <c r="F1195" s="5"/>
      <c r="G1195" s="5"/>
    </row>
    <row r="1196" spans="1:7" s="56" customFormat="1" x14ac:dyDescent="0.2">
      <c r="A1196" s="9"/>
      <c r="B1196" s="62"/>
      <c r="C1196" s="50"/>
      <c r="D1196" s="51"/>
      <c r="E1196" s="9"/>
      <c r="F1196" s="5"/>
      <c r="G1196" s="5"/>
    </row>
    <row r="1197" spans="1:7" s="56" customFormat="1" x14ac:dyDescent="0.2">
      <c r="A1197" s="9"/>
      <c r="B1197" s="62"/>
      <c r="C1197" s="50"/>
      <c r="D1197" s="51"/>
      <c r="E1197" s="9"/>
      <c r="F1197" s="5"/>
      <c r="G1197" s="5"/>
    </row>
    <row r="1198" spans="1:7" s="56" customFormat="1" x14ac:dyDescent="0.2">
      <c r="A1198" s="9"/>
      <c r="B1198" s="62"/>
      <c r="C1198" s="50"/>
      <c r="D1198" s="51"/>
      <c r="E1198" s="9"/>
      <c r="F1198" s="5"/>
      <c r="G1198" s="5"/>
    </row>
    <row r="1199" spans="1:7" s="56" customFormat="1" x14ac:dyDescent="0.2">
      <c r="A1199" s="9"/>
      <c r="B1199" s="62"/>
      <c r="C1199" s="50"/>
      <c r="D1199" s="51"/>
      <c r="E1199" s="9"/>
      <c r="F1199" s="5"/>
      <c r="G1199" s="5"/>
    </row>
    <row r="1200" spans="1:7" s="56" customFormat="1" x14ac:dyDescent="0.2">
      <c r="A1200" s="9"/>
      <c r="B1200" s="62"/>
      <c r="C1200" s="50"/>
      <c r="D1200" s="51"/>
      <c r="E1200" s="9"/>
      <c r="F1200" s="5"/>
      <c r="G1200" s="5"/>
    </row>
    <row r="1201" spans="1:7" s="56" customFormat="1" x14ac:dyDescent="0.2">
      <c r="A1201" s="9"/>
      <c r="B1201" s="62"/>
      <c r="C1201" s="50"/>
      <c r="D1201" s="51"/>
      <c r="E1201" s="9"/>
      <c r="F1201" s="5"/>
      <c r="G1201" s="5"/>
    </row>
    <row r="1202" spans="1:7" s="56" customFormat="1" x14ac:dyDescent="0.2">
      <c r="A1202" s="9"/>
      <c r="B1202" s="62"/>
      <c r="C1202" s="50"/>
      <c r="D1202" s="51"/>
      <c r="E1202" s="9"/>
      <c r="F1202" s="5"/>
      <c r="G1202" s="5"/>
    </row>
    <row r="1203" spans="1:7" s="56" customFormat="1" x14ac:dyDescent="0.2">
      <c r="A1203" s="9"/>
      <c r="B1203" s="62"/>
      <c r="C1203" s="50"/>
      <c r="D1203" s="51"/>
      <c r="E1203" s="9"/>
      <c r="F1203" s="5"/>
      <c r="G1203" s="5"/>
    </row>
    <row r="1204" spans="1:7" s="56" customFormat="1" x14ac:dyDescent="0.2">
      <c r="A1204" s="9"/>
      <c r="B1204" s="62"/>
      <c r="C1204" s="50"/>
      <c r="D1204" s="51"/>
      <c r="E1204" s="9"/>
      <c r="F1204" s="5"/>
      <c r="G1204" s="5"/>
    </row>
    <row r="1205" spans="1:7" s="56" customFormat="1" x14ac:dyDescent="0.2">
      <c r="A1205" s="9"/>
      <c r="B1205" s="62"/>
      <c r="C1205" s="50"/>
      <c r="D1205" s="51"/>
      <c r="E1205" s="9"/>
      <c r="F1205" s="5"/>
      <c r="G1205" s="5"/>
    </row>
    <row r="1206" spans="1:7" s="56" customFormat="1" x14ac:dyDescent="0.2">
      <c r="A1206" s="9"/>
      <c r="B1206" s="62"/>
      <c r="C1206" s="50"/>
      <c r="D1206" s="51"/>
      <c r="E1206" s="9"/>
      <c r="F1206" s="5"/>
      <c r="G1206" s="5"/>
    </row>
    <row r="1207" spans="1:7" s="56" customFormat="1" x14ac:dyDescent="0.2">
      <c r="A1207" s="9"/>
      <c r="B1207" s="62"/>
      <c r="C1207" s="50"/>
      <c r="D1207" s="51"/>
      <c r="E1207" s="9"/>
      <c r="F1207" s="5"/>
      <c r="G1207" s="5"/>
    </row>
    <row r="1208" spans="1:7" s="56" customFormat="1" x14ac:dyDescent="0.2">
      <c r="A1208" s="9"/>
      <c r="B1208" s="62"/>
      <c r="C1208" s="50"/>
      <c r="D1208" s="51"/>
      <c r="E1208" s="9"/>
      <c r="F1208" s="5"/>
      <c r="G1208" s="5"/>
    </row>
    <row r="1209" spans="1:7" s="56" customFormat="1" x14ac:dyDescent="0.2">
      <c r="A1209" s="9"/>
      <c r="B1209" s="62"/>
      <c r="C1209" s="50"/>
      <c r="D1209" s="51"/>
      <c r="E1209" s="9"/>
      <c r="F1209" s="5"/>
      <c r="G1209" s="5"/>
    </row>
    <row r="1210" spans="1:7" s="56" customFormat="1" x14ac:dyDescent="0.2">
      <c r="A1210" s="9"/>
      <c r="B1210" s="62"/>
      <c r="C1210" s="50"/>
      <c r="D1210" s="51"/>
      <c r="E1210" s="9"/>
      <c r="F1210" s="5"/>
      <c r="G1210" s="5"/>
    </row>
    <row r="1211" spans="1:7" s="56" customFormat="1" x14ac:dyDescent="0.2">
      <c r="A1211" s="9"/>
      <c r="B1211" s="62"/>
      <c r="C1211" s="50"/>
      <c r="D1211" s="51"/>
      <c r="E1211" s="9"/>
      <c r="F1211" s="5"/>
      <c r="G1211" s="5"/>
    </row>
    <row r="1212" spans="1:7" s="56" customFormat="1" x14ac:dyDescent="0.2">
      <c r="A1212" s="9"/>
      <c r="B1212" s="62"/>
      <c r="C1212" s="50"/>
      <c r="D1212" s="51"/>
      <c r="E1212" s="9"/>
      <c r="F1212" s="5"/>
      <c r="G1212" s="5"/>
    </row>
    <row r="1213" spans="1:7" s="56" customFormat="1" x14ac:dyDescent="0.2">
      <c r="A1213" s="9"/>
      <c r="B1213" s="62"/>
      <c r="C1213" s="50"/>
      <c r="D1213" s="51"/>
      <c r="E1213" s="9"/>
      <c r="F1213" s="5"/>
      <c r="G1213" s="5"/>
    </row>
    <row r="1214" spans="1:7" s="56" customFormat="1" x14ac:dyDescent="0.2">
      <c r="A1214" s="9"/>
      <c r="B1214" s="62"/>
      <c r="C1214" s="50"/>
      <c r="D1214" s="51"/>
      <c r="E1214" s="9"/>
      <c r="F1214" s="5"/>
      <c r="G1214" s="5"/>
    </row>
    <row r="1215" spans="1:7" s="56" customFormat="1" x14ac:dyDescent="0.2">
      <c r="A1215" s="9"/>
      <c r="B1215" s="62"/>
      <c r="C1215" s="50"/>
      <c r="D1215" s="51"/>
      <c r="E1215" s="9"/>
      <c r="F1215" s="5"/>
      <c r="G1215" s="5"/>
    </row>
    <row r="1216" spans="1:7" s="56" customFormat="1" x14ac:dyDescent="0.2">
      <c r="A1216" s="9"/>
      <c r="B1216" s="62"/>
      <c r="C1216" s="50"/>
      <c r="D1216" s="51"/>
      <c r="E1216" s="9"/>
      <c r="F1216" s="5"/>
      <c r="G1216" s="5"/>
    </row>
    <row r="1217" spans="1:7" s="56" customFormat="1" x14ac:dyDescent="0.2">
      <c r="A1217" s="9"/>
      <c r="B1217" s="62"/>
      <c r="C1217" s="50"/>
      <c r="D1217" s="51"/>
      <c r="E1217" s="9"/>
      <c r="F1217" s="5"/>
      <c r="G1217" s="5"/>
    </row>
    <row r="1218" spans="1:7" s="56" customFormat="1" x14ac:dyDescent="0.2">
      <c r="A1218" s="9"/>
      <c r="B1218" s="62"/>
      <c r="C1218" s="50"/>
      <c r="D1218" s="51"/>
      <c r="E1218" s="9"/>
      <c r="F1218" s="5"/>
      <c r="G1218" s="5"/>
    </row>
    <row r="1219" spans="1:7" s="56" customFormat="1" x14ac:dyDescent="0.2">
      <c r="A1219" s="9"/>
      <c r="B1219" s="62"/>
      <c r="C1219" s="50"/>
      <c r="D1219" s="51"/>
      <c r="E1219" s="9"/>
      <c r="F1219" s="5"/>
      <c r="G1219" s="5"/>
    </row>
    <row r="1220" spans="1:7" s="56" customFormat="1" x14ac:dyDescent="0.2">
      <c r="A1220" s="9"/>
      <c r="B1220" s="62"/>
      <c r="C1220" s="50"/>
      <c r="D1220" s="51"/>
      <c r="E1220" s="9"/>
      <c r="F1220" s="5"/>
      <c r="G1220" s="5"/>
    </row>
    <row r="1221" spans="1:7" s="56" customFormat="1" x14ac:dyDescent="0.2">
      <c r="A1221" s="9"/>
      <c r="B1221" s="62"/>
      <c r="C1221" s="50"/>
      <c r="D1221" s="51"/>
      <c r="E1221" s="9"/>
      <c r="F1221" s="5"/>
      <c r="G1221" s="5"/>
    </row>
    <row r="1222" spans="1:7" s="56" customFormat="1" x14ac:dyDescent="0.2">
      <c r="A1222" s="9"/>
      <c r="B1222" s="62"/>
      <c r="C1222" s="50"/>
      <c r="D1222" s="51"/>
      <c r="E1222" s="9"/>
      <c r="F1222" s="5"/>
      <c r="G1222" s="5"/>
    </row>
    <row r="1223" spans="1:7" s="56" customFormat="1" x14ac:dyDescent="0.2">
      <c r="A1223" s="9"/>
      <c r="B1223" s="62"/>
      <c r="C1223" s="50"/>
      <c r="D1223" s="51"/>
      <c r="E1223" s="9"/>
      <c r="F1223" s="5"/>
      <c r="G1223" s="5"/>
    </row>
    <row r="1224" spans="1:7" s="56" customFormat="1" x14ac:dyDescent="0.2">
      <c r="A1224" s="9"/>
      <c r="B1224" s="62"/>
      <c r="C1224" s="50"/>
      <c r="D1224" s="51"/>
      <c r="E1224" s="9"/>
      <c r="F1224" s="5"/>
      <c r="G1224" s="5"/>
    </row>
    <row r="1225" spans="1:7" s="56" customFormat="1" x14ac:dyDescent="0.2">
      <c r="A1225" s="9"/>
      <c r="B1225" s="62"/>
      <c r="C1225" s="50"/>
      <c r="D1225" s="51"/>
      <c r="E1225" s="9"/>
      <c r="F1225" s="5"/>
      <c r="G1225" s="5"/>
    </row>
    <row r="1226" spans="1:7" s="56" customFormat="1" x14ac:dyDescent="0.2">
      <c r="A1226" s="9"/>
      <c r="B1226" s="62"/>
      <c r="C1226" s="50"/>
      <c r="D1226" s="51"/>
      <c r="E1226" s="9"/>
      <c r="F1226" s="5"/>
      <c r="G1226" s="5"/>
    </row>
    <row r="1227" spans="1:7" s="56" customFormat="1" x14ac:dyDescent="0.2">
      <c r="A1227" s="9"/>
      <c r="B1227" s="62"/>
      <c r="C1227" s="50"/>
      <c r="D1227" s="51"/>
      <c r="E1227" s="9"/>
      <c r="F1227" s="5"/>
      <c r="G1227" s="5"/>
    </row>
    <row r="1228" spans="1:7" s="56" customFormat="1" x14ac:dyDescent="0.2">
      <c r="A1228" s="9"/>
      <c r="B1228" s="62"/>
      <c r="C1228" s="50"/>
      <c r="D1228" s="51"/>
      <c r="E1228" s="9"/>
      <c r="F1228" s="5"/>
      <c r="G1228" s="5"/>
    </row>
    <row r="1229" spans="1:7" s="56" customFormat="1" x14ac:dyDescent="0.2">
      <c r="A1229" s="9"/>
      <c r="B1229" s="62"/>
      <c r="C1229" s="50"/>
      <c r="D1229" s="51"/>
      <c r="E1229" s="9"/>
      <c r="F1229" s="5"/>
      <c r="G1229" s="5"/>
    </row>
    <row r="1230" spans="1:7" s="56" customFormat="1" x14ac:dyDescent="0.2">
      <c r="A1230" s="9"/>
      <c r="B1230" s="62"/>
      <c r="C1230" s="50"/>
      <c r="D1230" s="51"/>
      <c r="E1230" s="9"/>
      <c r="F1230" s="5"/>
      <c r="G1230" s="5"/>
    </row>
    <row r="1231" spans="1:7" s="56" customFormat="1" x14ac:dyDescent="0.2">
      <c r="A1231" s="9"/>
      <c r="B1231" s="62"/>
      <c r="C1231" s="50"/>
      <c r="D1231" s="51"/>
      <c r="E1231" s="9"/>
      <c r="F1231" s="5"/>
      <c r="G1231" s="5"/>
    </row>
    <row r="1232" spans="1:7" s="56" customFormat="1" x14ac:dyDescent="0.2">
      <c r="A1232" s="9"/>
      <c r="B1232" s="62"/>
      <c r="C1232" s="50"/>
      <c r="D1232" s="51"/>
      <c r="E1232" s="9"/>
      <c r="F1232" s="5"/>
      <c r="G1232" s="5"/>
    </row>
    <row r="1233" spans="1:7" s="56" customFormat="1" x14ac:dyDescent="0.2">
      <c r="A1233" s="9"/>
      <c r="B1233" s="62"/>
      <c r="C1233" s="50"/>
      <c r="D1233" s="51"/>
      <c r="E1233" s="9"/>
      <c r="F1233" s="5"/>
      <c r="G1233" s="5"/>
    </row>
    <row r="1234" spans="1:7" s="56" customFormat="1" x14ac:dyDescent="0.2">
      <c r="A1234" s="9"/>
      <c r="B1234" s="62"/>
      <c r="C1234" s="50"/>
      <c r="D1234" s="51"/>
      <c r="E1234" s="9"/>
      <c r="F1234" s="5"/>
      <c r="G1234" s="5"/>
    </row>
    <row r="1235" spans="1:7" s="56" customFormat="1" x14ac:dyDescent="0.2">
      <c r="A1235" s="9"/>
      <c r="B1235" s="62"/>
      <c r="C1235" s="50"/>
      <c r="D1235" s="51"/>
      <c r="E1235" s="9"/>
      <c r="F1235" s="5"/>
      <c r="G1235" s="5"/>
    </row>
    <row r="1236" spans="1:7" s="56" customFormat="1" x14ac:dyDescent="0.2">
      <c r="A1236" s="9"/>
      <c r="B1236" s="62"/>
      <c r="C1236" s="50"/>
      <c r="D1236" s="51"/>
      <c r="E1236" s="9"/>
      <c r="F1236" s="5"/>
      <c r="G1236" s="5"/>
    </row>
    <row r="1237" spans="1:7" s="56" customFormat="1" x14ac:dyDescent="0.2">
      <c r="A1237" s="9"/>
      <c r="B1237" s="62"/>
      <c r="C1237" s="50"/>
      <c r="D1237" s="51"/>
      <c r="E1237" s="9"/>
      <c r="F1237" s="5"/>
      <c r="G1237" s="5"/>
    </row>
    <row r="1238" spans="1:7" s="56" customFormat="1" x14ac:dyDescent="0.2">
      <c r="A1238" s="9"/>
      <c r="B1238" s="62"/>
      <c r="C1238" s="50"/>
      <c r="D1238" s="51"/>
      <c r="E1238" s="9"/>
      <c r="F1238" s="5"/>
      <c r="G1238" s="5"/>
    </row>
    <row r="1239" spans="1:7" s="56" customFormat="1" x14ac:dyDescent="0.2">
      <c r="A1239" s="9"/>
      <c r="B1239" s="62"/>
      <c r="C1239" s="50"/>
      <c r="D1239" s="51"/>
      <c r="E1239" s="9"/>
      <c r="F1239" s="5"/>
      <c r="G1239" s="5"/>
    </row>
    <row r="1240" spans="1:7" s="56" customFormat="1" x14ac:dyDescent="0.2">
      <c r="A1240" s="9"/>
      <c r="B1240" s="62"/>
      <c r="C1240" s="50"/>
      <c r="D1240" s="51"/>
      <c r="E1240" s="9"/>
      <c r="F1240" s="5"/>
      <c r="G1240" s="5"/>
    </row>
    <row r="1241" spans="1:7" s="56" customFormat="1" x14ac:dyDescent="0.2">
      <c r="A1241" s="9"/>
      <c r="B1241" s="62"/>
      <c r="C1241" s="50"/>
      <c r="D1241" s="51"/>
      <c r="E1241" s="9"/>
      <c r="F1241" s="5"/>
      <c r="G1241" s="5"/>
    </row>
    <row r="1242" spans="1:7" s="56" customFormat="1" x14ac:dyDescent="0.2">
      <c r="A1242" s="9"/>
      <c r="B1242" s="62"/>
      <c r="C1242" s="50"/>
      <c r="D1242" s="51"/>
      <c r="E1242" s="9"/>
      <c r="F1242" s="5"/>
      <c r="G1242" s="5"/>
    </row>
    <row r="1243" spans="1:7" s="56" customFormat="1" x14ac:dyDescent="0.2">
      <c r="A1243" s="9"/>
      <c r="B1243" s="62"/>
      <c r="C1243" s="50"/>
      <c r="D1243" s="51"/>
      <c r="E1243" s="9"/>
      <c r="F1243" s="5"/>
      <c r="G1243" s="5"/>
    </row>
    <row r="1244" spans="1:7" s="56" customFormat="1" x14ac:dyDescent="0.2">
      <c r="A1244" s="9"/>
      <c r="B1244" s="62"/>
      <c r="C1244" s="50"/>
      <c r="D1244" s="51"/>
      <c r="E1244" s="9"/>
      <c r="F1244" s="5"/>
      <c r="G1244" s="5"/>
    </row>
    <row r="1245" spans="1:7" s="56" customFormat="1" x14ac:dyDescent="0.2">
      <c r="A1245" s="9"/>
      <c r="B1245" s="62"/>
      <c r="C1245" s="50"/>
      <c r="D1245" s="51"/>
      <c r="E1245" s="9"/>
      <c r="F1245" s="5"/>
      <c r="G1245" s="5"/>
    </row>
    <row r="1246" spans="1:7" s="56" customFormat="1" x14ac:dyDescent="0.2">
      <c r="A1246" s="9"/>
      <c r="B1246" s="62"/>
      <c r="C1246" s="50"/>
      <c r="D1246" s="51"/>
      <c r="E1246" s="9"/>
      <c r="F1246" s="5"/>
      <c r="G1246" s="5"/>
    </row>
    <row r="1247" spans="1:7" s="56" customFormat="1" x14ac:dyDescent="0.2">
      <c r="A1247" s="9"/>
      <c r="B1247" s="62"/>
      <c r="C1247" s="50"/>
      <c r="D1247" s="51"/>
      <c r="E1247" s="9"/>
      <c r="F1247" s="5"/>
      <c r="G1247" s="5"/>
    </row>
    <row r="1248" spans="1:7" s="56" customFormat="1" x14ac:dyDescent="0.2">
      <c r="A1248" s="9"/>
      <c r="B1248" s="62"/>
      <c r="C1248" s="50"/>
      <c r="D1248" s="51"/>
      <c r="E1248" s="9"/>
      <c r="F1248" s="5"/>
      <c r="G1248" s="5"/>
    </row>
    <row r="1249" spans="1:7" s="56" customFormat="1" x14ac:dyDescent="0.2">
      <c r="A1249" s="9"/>
      <c r="B1249" s="62"/>
      <c r="C1249" s="50"/>
      <c r="D1249" s="51"/>
      <c r="E1249" s="9"/>
      <c r="F1249" s="5"/>
      <c r="G1249" s="5"/>
    </row>
    <row r="1250" spans="1:7" s="56" customFormat="1" x14ac:dyDescent="0.2">
      <c r="A1250" s="9"/>
      <c r="B1250" s="62"/>
      <c r="C1250" s="50"/>
      <c r="D1250" s="51"/>
      <c r="E1250" s="9"/>
      <c r="F1250" s="5"/>
      <c r="G1250" s="5"/>
    </row>
    <row r="1251" spans="1:7" s="56" customFormat="1" x14ac:dyDescent="0.2">
      <c r="A1251" s="9"/>
      <c r="B1251" s="62"/>
      <c r="C1251" s="50"/>
      <c r="D1251" s="51"/>
      <c r="E1251" s="9"/>
      <c r="F1251" s="5"/>
      <c r="G1251" s="5"/>
    </row>
    <row r="1252" spans="1:7" s="56" customFormat="1" x14ac:dyDescent="0.2">
      <c r="A1252" s="9"/>
      <c r="B1252" s="62"/>
      <c r="C1252" s="50"/>
      <c r="D1252" s="51"/>
      <c r="E1252" s="9"/>
      <c r="F1252" s="5"/>
      <c r="G1252" s="5"/>
    </row>
    <row r="1253" spans="1:7" s="56" customFormat="1" x14ac:dyDescent="0.2">
      <c r="A1253" s="9"/>
      <c r="B1253" s="62"/>
      <c r="C1253" s="50"/>
      <c r="D1253" s="51"/>
      <c r="E1253" s="9"/>
      <c r="F1253" s="5"/>
      <c r="G1253" s="5"/>
    </row>
    <row r="1254" spans="1:7" s="56" customFormat="1" x14ac:dyDescent="0.2">
      <c r="A1254" s="9"/>
      <c r="B1254" s="62"/>
      <c r="C1254" s="50"/>
      <c r="D1254" s="51"/>
      <c r="E1254" s="9"/>
      <c r="F1254" s="5"/>
      <c r="G1254" s="5"/>
    </row>
    <row r="1255" spans="1:7" s="56" customFormat="1" x14ac:dyDescent="0.2">
      <c r="A1255" s="9"/>
      <c r="B1255" s="62"/>
      <c r="C1255" s="50"/>
      <c r="D1255" s="51"/>
      <c r="E1255" s="9"/>
      <c r="F1255" s="5"/>
      <c r="G1255" s="5"/>
    </row>
    <row r="1256" spans="1:7" s="56" customFormat="1" x14ac:dyDescent="0.2">
      <c r="A1256" s="9"/>
      <c r="B1256" s="62"/>
      <c r="C1256" s="50"/>
      <c r="D1256" s="51"/>
      <c r="E1256" s="9"/>
      <c r="F1256" s="5"/>
      <c r="G1256" s="5"/>
    </row>
    <row r="1257" spans="1:7" s="56" customFormat="1" x14ac:dyDescent="0.2">
      <c r="A1257" s="9"/>
      <c r="B1257" s="62"/>
      <c r="C1257" s="50"/>
      <c r="D1257" s="51"/>
      <c r="E1257" s="9"/>
      <c r="F1257" s="5"/>
      <c r="G1257" s="5"/>
    </row>
    <row r="1258" spans="1:7" s="56" customFormat="1" x14ac:dyDescent="0.2">
      <c r="A1258" s="9"/>
      <c r="B1258" s="62"/>
      <c r="C1258" s="50"/>
      <c r="D1258" s="51"/>
      <c r="E1258" s="9"/>
      <c r="F1258" s="5"/>
      <c r="G1258" s="5"/>
    </row>
    <row r="1259" spans="1:7" s="56" customFormat="1" x14ac:dyDescent="0.2">
      <c r="A1259" s="9"/>
      <c r="B1259" s="62"/>
      <c r="C1259" s="50"/>
      <c r="D1259" s="51"/>
      <c r="E1259" s="9"/>
      <c r="F1259" s="5"/>
      <c r="G1259" s="5"/>
    </row>
    <row r="1260" spans="1:7" s="56" customFormat="1" x14ac:dyDescent="0.2">
      <c r="A1260" s="9"/>
      <c r="B1260" s="62"/>
      <c r="C1260" s="50"/>
      <c r="D1260" s="51"/>
      <c r="E1260" s="9"/>
      <c r="F1260" s="5"/>
      <c r="G1260" s="5"/>
    </row>
    <row r="1261" spans="1:7" s="56" customFormat="1" x14ac:dyDescent="0.2">
      <c r="A1261" s="9"/>
      <c r="B1261" s="62"/>
      <c r="C1261" s="50"/>
      <c r="D1261" s="51"/>
      <c r="E1261" s="9"/>
      <c r="F1261" s="5"/>
      <c r="G1261" s="5"/>
    </row>
    <row r="1262" spans="1:7" s="56" customFormat="1" x14ac:dyDescent="0.2">
      <c r="A1262" s="9"/>
      <c r="B1262" s="62"/>
      <c r="C1262" s="50"/>
      <c r="D1262" s="51"/>
      <c r="E1262" s="9"/>
      <c r="F1262" s="5"/>
      <c r="G1262" s="5"/>
    </row>
    <row r="1263" spans="1:7" s="56" customFormat="1" x14ac:dyDescent="0.2">
      <c r="A1263" s="9"/>
      <c r="B1263" s="62"/>
      <c r="C1263" s="50"/>
      <c r="D1263" s="51"/>
      <c r="E1263" s="9"/>
      <c r="F1263" s="5"/>
      <c r="G1263" s="5"/>
    </row>
    <row r="1264" spans="1:7" s="56" customFormat="1" x14ac:dyDescent="0.2">
      <c r="A1264" s="9"/>
      <c r="B1264" s="62"/>
      <c r="C1264" s="50"/>
      <c r="D1264" s="51"/>
      <c r="E1264" s="9"/>
      <c r="F1264" s="5"/>
      <c r="G1264" s="5"/>
    </row>
    <row r="1265" spans="1:7" s="56" customFormat="1" x14ac:dyDescent="0.2">
      <c r="A1265" s="9"/>
      <c r="B1265" s="62"/>
      <c r="C1265" s="50"/>
      <c r="D1265" s="51"/>
      <c r="E1265" s="9"/>
      <c r="F1265" s="5"/>
      <c r="G1265" s="5"/>
    </row>
    <row r="1266" spans="1:7" s="56" customFormat="1" x14ac:dyDescent="0.2">
      <c r="A1266" s="9"/>
      <c r="B1266" s="62"/>
      <c r="C1266" s="50"/>
      <c r="D1266" s="51"/>
      <c r="E1266" s="9"/>
      <c r="F1266" s="5"/>
      <c r="G1266" s="5"/>
    </row>
    <row r="1267" spans="1:7" s="56" customFormat="1" x14ac:dyDescent="0.2">
      <c r="A1267" s="9"/>
      <c r="B1267" s="62"/>
      <c r="C1267" s="50"/>
      <c r="D1267" s="51"/>
      <c r="E1267" s="9"/>
      <c r="F1267" s="5"/>
      <c r="G1267" s="5"/>
    </row>
    <row r="1268" spans="1:7" s="56" customFormat="1" x14ac:dyDescent="0.2">
      <c r="A1268" s="9"/>
      <c r="B1268" s="62"/>
      <c r="C1268" s="50"/>
      <c r="D1268" s="51"/>
      <c r="E1268" s="9"/>
      <c r="F1268" s="5"/>
      <c r="G1268" s="5"/>
    </row>
    <row r="1269" spans="1:7" s="56" customFormat="1" x14ac:dyDescent="0.2">
      <c r="A1269" s="9"/>
      <c r="B1269" s="62"/>
      <c r="C1269" s="50"/>
      <c r="D1269" s="51"/>
      <c r="E1269" s="9"/>
      <c r="F1269" s="5"/>
      <c r="G1269" s="5"/>
    </row>
    <row r="1270" spans="1:7" s="56" customFormat="1" x14ac:dyDescent="0.2">
      <c r="A1270" s="9"/>
      <c r="B1270" s="62"/>
      <c r="C1270" s="50"/>
      <c r="D1270" s="51"/>
      <c r="E1270" s="9"/>
      <c r="F1270" s="5"/>
      <c r="G1270" s="5"/>
    </row>
    <row r="1271" spans="1:7" s="56" customFormat="1" x14ac:dyDescent="0.2">
      <c r="A1271" s="9"/>
      <c r="B1271" s="62"/>
      <c r="C1271" s="50"/>
      <c r="D1271" s="51"/>
      <c r="E1271" s="9"/>
      <c r="F1271" s="5"/>
      <c r="G1271" s="5"/>
    </row>
    <row r="1272" spans="1:7" s="56" customFormat="1" x14ac:dyDescent="0.2">
      <c r="A1272" s="9"/>
      <c r="B1272" s="62"/>
      <c r="C1272" s="50"/>
      <c r="D1272" s="51"/>
      <c r="E1272" s="9"/>
      <c r="F1272" s="5"/>
      <c r="G1272" s="5"/>
    </row>
    <row r="1273" spans="1:7" s="56" customFormat="1" x14ac:dyDescent="0.2">
      <c r="A1273" s="9"/>
      <c r="B1273" s="62"/>
      <c r="C1273" s="50"/>
      <c r="D1273" s="51"/>
      <c r="E1273" s="9"/>
      <c r="F1273" s="5"/>
      <c r="G1273" s="5"/>
    </row>
    <row r="1274" spans="1:7" s="56" customFormat="1" x14ac:dyDescent="0.2">
      <c r="A1274" s="9"/>
      <c r="B1274" s="62"/>
      <c r="C1274" s="50"/>
      <c r="D1274" s="51"/>
      <c r="E1274" s="9"/>
      <c r="F1274" s="5"/>
      <c r="G1274" s="5"/>
    </row>
    <row r="1275" spans="1:7" s="56" customFormat="1" x14ac:dyDescent="0.2">
      <c r="A1275" s="9"/>
      <c r="B1275" s="62"/>
      <c r="C1275" s="50"/>
      <c r="D1275" s="51"/>
      <c r="E1275" s="9"/>
      <c r="F1275" s="5"/>
      <c r="G1275" s="5"/>
    </row>
    <row r="1276" spans="1:7" s="56" customFormat="1" x14ac:dyDescent="0.2">
      <c r="A1276" s="9"/>
      <c r="B1276" s="62"/>
      <c r="C1276" s="50"/>
      <c r="D1276" s="51"/>
      <c r="E1276" s="9"/>
      <c r="F1276" s="5"/>
      <c r="G1276" s="5"/>
    </row>
    <row r="1277" spans="1:7" s="56" customFormat="1" x14ac:dyDescent="0.2">
      <c r="A1277" s="9"/>
      <c r="B1277" s="62"/>
      <c r="C1277" s="50"/>
      <c r="D1277" s="51"/>
      <c r="E1277" s="9"/>
      <c r="F1277" s="5"/>
      <c r="G1277" s="5"/>
    </row>
    <row r="1278" spans="1:7" s="56" customFormat="1" x14ac:dyDescent="0.2">
      <c r="A1278" s="9"/>
      <c r="B1278" s="62"/>
      <c r="C1278" s="50"/>
      <c r="D1278" s="51"/>
      <c r="E1278" s="9"/>
      <c r="F1278" s="5"/>
      <c r="G1278" s="5"/>
    </row>
    <row r="1279" spans="1:7" s="56" customFormat="1" x14ac:dyDescent="0.2">
      <c r="A1279" s="9"/>
      <c r="B1279" s="62"/>
      <c r="C1279" s="50"/>
      <c r="D1279" s="51"/>
      <c r="E1279" s="9"/>
      <c r="F1279" s="5"/>
      <c r="G1279" s="5"/>
    </row>
    <row r="1280" spans="1:7" s="56" customFormat="1" x14ac:dyDescent="0.2">
      <c r="A1280" s="9"/>
      <c r="B1280" s="62"/>
      <c r="C1280" s="50"/>
      <c r="D1280" s="51"/>
      <c r="E1280" s="9"/>
      <c r="F1280" s="5"/>
      <c r="G1280" s="5"/>
    </row>
    <row r="1281" spans="1:7" s="56" customFormat="1" x14ac:dyDescent="0.2">
      <c r="A1281" s="9"/>
      <c r="B1281" s="62"/>
      <c r="C1281" s="50"/>
      <c r="D1281" s="51"/>
      <c r="E1281" s="9"/>
      <c r="F1281" s="5"/>
      <c r="G1281" s="5"/>
    </row>
    <row r="1282" spans="1:7" s="56" customFormat="1" x14ac:dyDescent="0.2">
      <c r="A1282" s="9"/>
      <c r="B1282" s="62"/>
      <c r="C1282" s="50"/>
      <c r="D1282" s="51"/>
      <c r="E1282" s="9"/>
      <c r="F1282" s="5"/>
      <c r="G1282" s="5"/>
    </row>
    <row r="1283" spans="1:7" s="56" customFormat="1" x14ac:dyDescent="0.2">
      <c r="A1283" s="9"/>
      <c r="B1283" s="62"/>
      <c r="C1283" s="50"/>
      <c r="D1283" s="51"/>
      <c r="E1283" s="9"/>
      <c r="F1283" s="5"/>
      <c r="G1283" s="5"/>
    </row>
    <row r="1284" spans="1:7" s="56" customFormat="1" x14ac:dyDescent="0.2">
      <c r="A1284" s="9"/>
      <c r="B1284" s="62"/>
      <c r="C1284" s="50"/>
      <c r="D1284" s="51"/>
      <c r="E1284" s="9"/>
      <c r="F1284" s="5"/>
      <c r="G1284" s="5"/>
    </row>
    <row r="1285" spans="1:7" s="56" customFormat="1" x14ac:dyDescent="0.2">
      <c r="A1285" s="9"/>
      <c r="B1285" s="62"/>
      <c r="C1285" s="50"/>
      <c r="D1285" s="51"/>
      <c r="E1285" s="9"/>
      <c r="F1285" s="5"/>
      <c r="G1285" s="5"/>
    </row>
    <row r="1286" spans="1:7" s="56" customFormat="1" x14ac:dyDescent="0.2">
      <c r="A1286" s="9"/>
      <c r="B1286" s="62"/>
      <c r="C1286" s="50"/>
      <c r="D1286" s="51"/>
      <c r="E1286" s="9"/>
      <c r="F1286" s="5"/>
      <c r="G1286" s="5"/>
    </row>
    <row r="1287" spans="1:7" s="56" customFormat="1" x14ac:dyDescent="0.2">
      <c r="A1287" s="9"/>
      <c r="B1287" s="62"/>
      <c r="C1287" s="50"/>
      <c r="D1287" s="51"/>
      <c r="E1287" s="9"/>
      <c r="F1287" s="5"/>
      <c r="G1287" s="5"/>
    </row>
    <row r="1288" spans="1:7" s="56" customFormat="1" x14ac:dyDescent="0.2">
      <c r="A1288" s="9"/>
      <c r="B1288" s="62"/>
      <c r="C1288" s="50"/>
      <c r="D1288" s="51"/>
      <c r="E1288" s="9"/>
      <c r="F1288" s="5"/>
      <c r="G1288" s="5"/>
    </row>
    <row r="1289" spans="1:7" s="56" customFormat="1" x14ac:dyDescent="0.2">
      <c r="A1289" s="9"/>
      <c r="B1289" s="62"/>
      <c r="C1289" s="50"/>
      <c r="D1289" s="51"/>
      <c r="E1289" s="9"/>
      <c r="F1289" s="5"/>
      <c r="G1289" s="5"/>
    </row>
    <row r="1290" spans="1:7" s="56" customFormat="1" x14ac:dyDescent="0.2">
      <c r="A1290" s="9"/>
      <c r="B1290" s="62"/>
      <c r="C1290" s="50"/>
      <c r="D1290" s="51"/>
      <c r="E1290" s="9"/>
      <c r="F1290" s="5"/>
      <c r="G1290" s="5"/>
    </row>
    <row r="1291" spans="1:7" s="56" customFormat="1" x14ac:dyDescent="0.2">
      <c r="A1291" s="9"/>
      <c r="B1291" s="62"/>
      <c r="C1291" s="50"/>
      <c r="D1291" s="51"/>
      <c r="E1291" s="9"/>
      <c r="F1291" s="5"/>
      <c r="G1291" s="5"/>
    </row>
    <row r="1292" spans="1:7" s="56" customFormat="1" x14ac:dyDescent="0.2">
      <c r="A1292" s="9"/>
      <c r="B1292" s="62"/>
      <c r="C1292" s="50"/>
      <c r="D1292" s="51"/>
      <c r="E1292" s="9"/>
      <c r="F1292" s="5"/>
      <c r="G1292" s="5"/>
    </row>
    <row r="1293" spans="1:7" s="56" customFormat="1" x14ac:dyDescent="0.2">
      <c r="A1293" s="9"/>
      <c r="B1293" s="62"/>
      <c r="C1293" s="50"/>
      <c r="D1293" s="51"/>
      <c r="E1293" s="9"/>
      <c r="F1293" s="5"/>
      <c r="G1293" s="5"/>
    </row>
    <row r="1294" spans="1:7" s="56" customFormat="1" x14ac:dyDescent="0.2">
      <c r="A1294" s="9"/>
      <c r="B1294" s="62"/>
      <c r="C1294" s="50"/>
      <c r="D1294" s="51"/>
      <c r="E1294" s="9"/>
      <c r="F1294" s="5"/>
      <c r="G1294" s="5"/>
    </row>
    <row r="1295" spans="1:7" s="56" customFormat="1" x14ac:dyDescent="0.2">
      <c r="A1295" s="9"/>
      <c r="B1295" s="62"/>
      <c r="C1295" s="50"/>
      <c r="D1295" s="51"/>
      <c r="E1295" s="9"/>
      <c r="F1295" s="5"/>
      <c r="G1295" s="5"/>
    </row>
    <row r="1296" spans="1:7" s="56" customFormat="1" x14ac:dyDescent="0.2">
      <c r="A1296" s="9"/>
      <c r="B1296" s="62"/>
      <c r="C1296" s="50"/>
      <c r="D1296" s="51"/>
      <c r="E1296" s="9"/>
      <c r="F1296" s="5"/>
      <c r="G1296" s="5"/>
    </row>
    <row r="1297" spans="1:7" s="56" customFormat="1" x14ac:dyDescent="0.2">
      <c r="A1297" s="9"/>
      <c r="B1297" s="62"/>
      <c r="C1297" s="50"/>
      <c r="D1297" s="51"/>
      <c r="E1297" s="9"/>
      <c r="F1297" s="5"/>
      <c r="G1297" s="5"/>
    </row>
    <row r="1298" spans="1:7" s="56" customFormat="1" x14ac:dyDescent="0.2">
      <c r="A1298" s="9"/>
      <c r="B1298" s="62"/>
      <c r="C1298" s="50"/>
      <c r="D1298" s="51"/>
      <c r="E1298" s="9"/>
      <c r="F1298" s="5"/>
      <c r="G1298" s="5"/>
    </row>
    <row r="1299" spans="1:7" s="56" customFormat="1" x14ac:dyDescent="0.2">
      <c r="A1299" s="9"/>
      <c r="B1299" s="62"/>
      <c r="C1299" s="50"/>
      <c r="D1299" s="51"/>
      <c r="E1299" s="9"/>
      <c r="F1299" s="5"/>
      <c r="G1299" s="5"/>
    </row>
    <row r="1300" spans="1:7" s="56" customFormat="1" x14ac:dyDescent="0.2">
      <c r="A1300" s="9"/>
      <c r="B1300" s="62"/>
      <c r="C1300" s="50"/>
      <c r="D1300" s="51"/>
      <c r="E1300" s="9"/>
      <c r="F1300" s="5"/>
      <c r="G1300" s="5"/>
    </row>
    <row r="1301" spans="1:7" s="56" customFormat="1" x14ac:dyDescent="0.2">
      <c r="A1301" s="9"/>
      <c r="B1301" s="62"/>
      <c r="C1301" s="50"/>
      <c r="D1301" s="51"/>
      <c r="E1301" s="9"/>
      <c r="F1301" s="5"/>
      <c r="G1301" s="5"/>
    </row>
    <row r="1302" spans="1:7" s="56" customFormat="1" x14ac:dyDescent="0.2">
      <c r="A1302" s="9"/>
      <c r="B1302" s="62"/>
      <c r="C1302" s="50"/>
      <c r="D1302" s="51"/>
      <c r="E1302" s="9"/>
      <c r="F1302" s="5"/>
      <c r="G1302" s="5"/>
    </row>
    <row r="1303" spans="1:7" s="56" customFormat="1" x14ac:dyDescent="0.2">
      <c r="A1303" s="9"/>
      <c r="B1303" s="62"/>
      <c r="C1303" s="50"/>
      <c r="D1303" s="51"/>
      <c r="E1303" s="9"/>
      <c r="F1303" s="5"/>
      <c r="G1303" s="5"/>
    </row>
    <row r="1304" spans="1:7" s="56" customFormat="1" x14ac:dyDescent="0.2">
      <c r="A1304" s="9"/>
      <c r="B1304" s="62"/>
      <c r="C1304" s="50"/>
      <c r="D1304" s="51"/>
      <c r="E1304" s="9"/>
      <c r="F1304" s="5"/>
      <c r="G1304" s="5"/>
    </row>
    <row r="1305" spans="1:7" s="56" customFormat="1" x14ac:dyDescent="0.2">
      <c r="A1305" s="9"/>
      <c r="B1305" s="62"/>
      <c r="C1305" s="50"/>
      <c r="D1305" s="51"/>
      <c r="E1305" s="9"/>
      <c r="F1305" s="5"/>
      <c r="G1305" s="5"/>
    </row>
    <row r="1306" spans="1:7" s="56" customFormat="1" x14ac:dyDescent="0.2">
      <c r="A1306" s="9"/>
      <c r="B1306" s="62"/>
      <c r="C1306" s="50"/>
      <c r="D1306" s="51"/>
      <c r="E1306" s="9"/>
      <c r="F1306" s="5"/>
      <c r="G1306" s="5"/>
    </row>
    <row r="1307" spans="1:7" s="56" customFormat="1" x14ac:dyDescent="0.2">
      <c r="A1307" s="9"/>
      <c r="B1307" s="62"/>
      <c r="C1307" s="50"/>
      <c r="D1307" s="51"/>
      <c r="E1307" s="9"/>
      <c r="F1307" s="5"/>
      <c r="G1307" s="5"/>
    </row>
    <row r="1308" spans="1:7" s="56" customFormat="1" x14ac:dyDescent="0.2">
      <c r="A1308" s="9"/>
      <c r="B1308" s="62"/>
      <c r="C1308" s="50"/>
      <c r="D1308" s="51"/>
      <c r="E1308" s="9"/>
      <c r="F1308" s="5"/>
      <c r="G1308" s="5"/>
    </row>
    <row r="1309" spans="1:7" s="56" customFormat="1" x14ac:dyDescent="0.2">
      <c r="A1309" s="9"/>
      <c r="B1309" s="62"/>
      <c r="C1309" s="50"/>
      <c r="D1309" s="51"/>
      <c r="E1309" s="9"/>
      <c r="F1309" s="5"/>
      <c r="G1309" s="5"/>
    </row>
    <row r="1310" spans="1:7" s="56" customFormat="1" x14ac:dyDescent="0.2">
      <c r="A1310" s="9"/>
      <c r="B1310" s="62"/>
      <c r="C1310" s="50"/>
      <c r="D1310" s="51"/>
      <c r="E1310" s="9"/>
      <c r="F1310" s="5"/>
      <c r="G1310" s="5"/>
    </row>
    <row r="1311" spans="1:7" s="56" customFormat="1" x14ac:dyDescent="0.2">
      <c r="A1311" s="9"/>
      <c r="B1311" s="62"/>
      <c r="C1311" s="50"/>
      <c r="D1311" s="51"/>
      <c r="E1311" s="9"/>
      <c r="F1311" s="5"/>
      <c r="G1311" s="5"/>
    </row>
    <row r="1312" spans="1:7" s="56" customFormat="1" x14ac:dyDescent="0.2">
      <c r="A1312" s="9"/>
      <c r="B1312" s="62"/>
      <c r="C1312" s="50"/>
      <c r="D1312" s="51"/>
      <c r="E1312" s="9"/>
      <c r="F1312" s="5"/>
      <c r="G1312" s="5"/>
    </row>
    <row r="1313" spans="1:7" s="56" customFormat="1" x14ac:dyDescent="0.2">
      <c r="A1313" s="9"/>
      <c r="B1313" s="62"/>
      <c r="C1313" s="50"/>
      <c r="D1313" s="51"/>
      <c r="E1313" s="9"/>
      <c r="F1313" s="5"/>
      <c r="G1313" s="5"/>
    </row>
    <row r="1314" spans="1:7" s="56" customFormat="1" x14ac:dyDescent="0.2">
      <c r="A1314" s="9"/>
      <c r="B1314" s="62"/>
      <c r="C1314" s="50"/>
      <c r="D1314" s="51"/>
      <c r="E1314" s="9"/>
      <c r="F1314" s="5"/>
      <c r="G1314" s="5"/>
    </row>
    <row r="1315" spans="1:7" s="56" customFormat="1" x14ac:dyDescent="0.2">
      <c r="A1315" s="9"/>
      <c r="B1315" s="62"/>
      <c r="C1315" s="50"/>
      <c r="D1315" s="51"/>
      <c r="E1315" s="9"/>
      <c r="F1315" s="5"/>
      <c r="G1315" s="5"/>
    </row>
    <row r="1316" spans="1:7" s="56" customFormat="1" x14ac:dyDescent="0.2">
      <c r="A1316" s="9"/>
      <c r="B1316" s="62"/>
      <c r="C1316" s="50"/>
      <c r="D1316" s="51"/>
      <c r="E1316" s="9"/>
      <c r="F1316" s="5"/>
      <c r="G1316" s="5"/>
    </row>
    <row r="1317" spans="1:7" s="56" customFormat="1" x14ac:dyDescent="0.2">
      <c r="A1317" s="9"/>
      <c r="B1317" s="62"/>
      <c r="C1317" s="50"/>
      <c r="D1317" s="51"/>
      <c r="E1317" s="9"/>
      <c r="F1317" s="5"/>
      <c r="G1317" s="5"/>
    </row>
    <row r="1318" spans="1:7" s="56" customFormat="1" x14ac:dyDescent="0.2">
      <c r="A1318" s="9"/>
      <c r="B1318" s="62"/>
      <c r="C1318" s="50"/>
      <c r="D1318" s="51"/>
      <c r="E1318" s="9"/>
      <c r="F1318" s="5"/>
      <c r="G1318" s="5"/>
    </row>
    <row r="1319" spans="1:7" s="56" customFormat="1" x14ac:dyDescent="0.2">
      <c r="A1319" s="9"/>
      <c r="B1319" s="62"/>
      <c r="C1319" s="50"/>
      <c r="D1319" s="51"/>
      <c r="E1319" s="9"/>
      <c r="F1319" s="5"/>
      <c r="G1319" s="5"/>
    </row>
    <row r="1320" spans="1:7" s="56" customFormat="1" x14ac:dyDescent="0.2">
      <c r="A1320" s="9"/>
      <c r="B1320" s="62"/>
      <c r="C1320" s="50"/>
      <c r="D1320" s="51"/>
      <c r="E1320" s="9"/>
      <c r="F1320" s="5"/>
      <c r="G1320" s="5"/>
    </row>
    <row r="1321" spans="1:7" s="56" customFormat="1" x14ac:dyDescent="0.2">
      <c r="A1321" s="9"/>
      <c r="B1321" s="62"/>
      <c r="C1321" s="50"/>
      <c r="D1321" s="51"/>
      <c r="E1321" s="9"/>
      <c r="F1321" s="5"/>
      <c r="G1321" s="5"/>
    </row>
    <row r="1322" spans="1:7" s="56" customFormat="1" x14ac:dyDescent="0.2">
      <c r="A1322" s="9"/>
      <c r="B1322" s="62"/>
      <c r="C1322" s="50"/>
      <c r="D1322" s="51"/>
      <c r="E1322" s="9"/>
      <c r="F1322" s="5"/>
      <c r="G1322" s="5"/>
    </row>
    <row r="1323" spans="1:7" s="56" customFormat="1" x14ac:dyDescent="0.2">
      <c r="A1323" s="9"/>
      <c r="B1323" s="62"/>
      <c r="C1323" s="50"/>
      <c r="D1323" s="51"/>
      <c r="E1323" s="9"/>
      <c r="F1323" s="5"/>
      <c r="G1323" s="5"/>
    </row>
    <row r="1324" spans="1:7" s="56" customFormat="1" x14ac:dyDescent="0.2">
      <c r="A1324" s="9"/>
      <c r="B1324" s="62"/>
      <c r="C1324" s="50"/>
      <c r="D1324" s="51"/>
      <c r="E1324" s="9"/>
      <c r="F1324" s="5"/>
      <c r="G1324" s="5"/>
    </row>
    <row r="1325" spans="1:7" s="56" customFormat="1" x14ac:dyDescent="0.2">
      <c r="A1325" s="9"/>
      <c r="B1325" s="62"/>
      <c r="C1325" s="50"/>
      <c r="D1325" s="51"/>
      <c r="E1325" s="9"/>
      <c r="F1325" s="5"/>
      <c r="G1325" s="5"/>
    </row>
    <row r="1326" spans="1:7" s="56" customFormat="1" x14ac:dyDescent="0.2">
      <c r="A1326" s="9"/>
      <c r="B1326" s="62"/>
      <c r="C1326" s="50"/>
      <c r="D1326" s="51"/>
      <c r="E1326" s="9"/>
      <c r="F1326" s="5"/>
      <c r="G1326" s="5"/>
    </row>
    <row r="1327" spans="1:7" s="56" customFormat="1" x14ac:dyDescent="0.2">
      <c r="A1327" s="9"/>
      <c r="B1327" s="62"/>
      <c r="C1327" s="50"/>
      <c r="D1327" s="51"/>
      <c r="E1327" s="9"/>
      <c r="F1327" s="5"/>
      <c r="G1327" s="5"/>
    </row>
    <row r="1328" spans="1:7" s="56" customFormat="1" x14ac:dyDescent="0.2">
      <c r="A1328" s="9"/>
      <c r="B1328" s="62"/>
      <c r="C1328" s="50"/>
      <c r="D1328" s="51"/>
      <c r="E1328" s="9"/>
      <c r="F1328" s="5"/>
      <c r="G1328" s="5"/>
    </row>
    <row r="1329" spans="1:7" s="56" customFormat="1" x14ac:dyDescent="0.2">
      <c r="A1329" s="9"/>
      <c r="B1329" s="62"/>
      <c r="C1329" s="50"/>
      <c r="D1329" s="51"/>
      <c r="E1329" s="9"/>
      <c r="F1329" s="5"/>
      <c r="G1329" s="5"/>
    </row>
    <row r="1330" spans="1:7" s="56" customFormat="1" x14ac:dyDescent="0.2">
      <c r="A1330" s="9"/>
      <c r="B1330" s="62"/>
      <c r="C1330" s="50"/>
      <c r="D1330" s="51"/>
      <c r="E1330" s="9"/>
      <c r="F1330" s="5"/>
      <c r="G1330" s="5"/>
    </row>
    <row r="1331" spans="1:7" s="56" customFormat="1" x14ac:dyDescent="0.2">
      <c r="A1331" s="9"/>
      <c r="B1331" s="62"/>
      <c r="C1331" s="50"/>
      <c r="D1331" s="51"/>
      <c r="E1331" s="9"/>
      <c r="F1331" s="5"/>
      <c r="G1331" s="5"/>
    </row>
    <row r="1332" spans="1:7" s="56" customFormat="1" x14ac:dyDescent="0.2">
      <c r="A1332" s="9"/>
      <c r="B1332" s="62"/>
      <c r="C1332" s="50"/>
      <c r="D1332" s="51"/>
      <c r="E1332" s="9"/>
      <c r="F1332" s="5"/>
      <c r="G1332" s="5"/>
    </row>
    <row r="1333" spans="1:7" s="56" customFormat="1" x14ac:dyDescent="0.2">
      <c r="A1333" s="9"/>
      <c r="B1333" s="62"/>
      <c r="C1333" s="50"/>
      <c r="D1333" s="51"/>
      <c r="E1333" s="9"/>
      <c r="F1333" s="5"/>
      <c r="G1333" s="5"/>
    </row>
    <row r="1334" spans="1:7" s="56" customFormat="1" x14ac:dyDescent="0.2">
      <c r="A1334" s="9"/>
      <c r="B1334" s="62"/>
      <c r="C1334" s="50"/>
      <c r="D1334" s="51"/>
      <c r="E1334" s="9"/>
      <c r="F1334" s="5"/>
      <c r="G1334" s="5"/>
    </row>
    <row r="1335" spans="1:7" s="56" customFormat="1" x14ac:dyDescent="0.2">
      <c r="A1335" s="9"/>
      <c r="B1335" s="62"/>
      <c r="C1335" s="50"/>
      <c r="D1335" s="51"/>
      <c r="E1335" s="9"/>
      <c r="F1335" s="5"/>
      <c r="G1335" s="5"/>
    </row>
    <row r="1336" spans="1:7" s="56" customFormat="1" x14ac:dyDescent="0.2">
      <c r="A1336" s="9"/>
      <c r="B1336" s="62"/>
      <c r="C1336" s="50"/>
      <c r="D1336" s="51"/>
      <c r="E1336" s="9"/>
      <c r="F1336" s="5"/>
      <c r="G1336" s="5"/>
    </row>
    <row r="1337" spans="1:7" s="56" customFormat="1" x14ac:dyDescent="0.2">
      <c r="A1337" s="9"/>
      <c r="B1337" s="62"/>
      <c r="C1337" s="50"/>
      <c r="D1337" s="51"/>
      <c r="E1337" s="9"/>
      <c r="F1337" s="5"/>
      <c r="G1337" s="5"/>
    </row>
    <row r="1338" spans="1:7" s="56" customFormat="1" x14ac:dyDescent="0.2">
      <c r="A1338" s="9"/>
      <c r="B1338" s="62"/>
      <c r="C1338" s="50"/>
      <c r="D1338" s="51"/>
      <c r="E1338" s="9"/>
      <c r="F1338" s="5"/>
      <c r="G1338" s="5"/>
    </row>
    <row r="1339" spans="1:7" s="56" customFormat="1" x14ac:dyDescent="0.2">
      <c r="A1339" s="9"/>
      <c r="B1339" s="62"/>
      <c r="C1339" s="50"/>
      <c r="D1339" s="51"/>
      <c r="E1339" s="9"/>
      <c r="F1339" s="5"/>
      <c r="G1339" s="5"/>
    </row>
    <row r="1340" spans="1:7" s="56" customFormat="1" x14ac:dyDescent="0.2">
      <c r="A1340" s="9"/>
      <c r="B1340" s="62"/>
      <c r="C1340" s="50"/>
      <c r="D1340" s="51"/>
      <c r="E1340" s="9"/>
      <c r="F1340" s="5"/>
      <c r="G1340" s="5"/>
    </row>
    <row r="1341" spans="1:7" s="56" customFormat="1" x14ac:dyDescent="0.2">
      <c r="A1341" s="9"/>
      <c r="B1341" s="62"/>
      <c r="C1341" s="50"/>
      <c r="D1341" s="51"/>
      <c r="E1341" s="9"/>
      <c r="F1341" s="5"/>
      <c r="G1341" s="5"/>
    </row>
    <row r="1342" spans="1:7" s="56" customFormat="1" x14ac:dyDescent="0.2">
      <c r="A1342" s="9"/>
      <c r="B1342" s="62"/>
      <c r="C1342" s="50"/>
      <c r="D1342" s="51"/>
      <c r="E1342" s="9"/>
      <c r="F1342" s="5"/>
      <c r="G1342" s="5"/>
    </row>
    <row r="1343" spans="1:7" s="56" customFormat="1" x14ac:dyDescent="0.2">
      <c r="A1343" s="9"/>
      <c r="B1343" s="62"/>
      <c r="C1343" s="50"/>
      <c r="D1343" s="51"/>
      <c r="E1343" s="9"/>
      <c r="F1343" s="5"/>
      <c r="G1343" s="5"/>
    </row>
    <row r="1344" spans="1:7" s="56" customFormat="1" x14ac:dyDescent="0.2">
      <c r="A1344" s="9"/>
      <c r="B1344" s="62"/>
      <c r="C1344" s="50"/>
      <c r="D1344" s="51"/>
      <c r="E1344" s="9"/>
      <c r="F1344" s="5"/>
      <c r="G1344" s="5"/>
    </row>
    <row r="1345" spans="1:7" s="56" customFormat="1" x14ac:dyDescent="0.2">
      <c r="A1345" s="9"/>
      <c r="B1345" s="62"/>
      <c r="C1345" s="50"/>
      <c r="D1345" s="51"/>
      <c r="E1345" s="9"/>
      <c r="F1345" s="5"/>
      <c r="G1345" s="5"/>
    </row>
    <row r="1346" spans="1:7" s="56" customFormat="1" x14ac:dyDescent="0.2">
      <c r="A1346" s="9"/>
      <c r="B1346" s="62"/>
      <c r="C1346" s="50"/>
      <c r="D1346" s="51"/>
      <c r="E1346" s="9"/>
      <c r="F1346" s="5"/>
      <c r="G1346" s="5"/>
    </row>
    <row r="1347" spans="1:7" s="56" customFormat="1" x14ac:dyDescent="0.2">
      <c r="A1347" s="9"/>
      <c r="B1347" s="62"/>
      <c r="C1347" s="50"/>
      <c r="D1347" s="51"/>
      <c r="E1347" s="9"/>
      <c r="F1347" s="5"/>
      <c r="G1347" s="5"/>
    </row>
    <row r="1348" spans="1:7" s="56" customFormat="1" x14ac:dyDescent="0.2">
      <c r="A1348" s="9"/>
      <c r="B1348" s="62"/>
      <c r="C1348" s="50"/>
      <c r="D1348" s="51"/>
      <c r="E1348" s="9"/>
      <c r="F1348" s="5"/>
      <c r="G1348" s="5"/>
    </row>
    <row r="1349" spans="1:7" s="56" customFormat="1" x14ac:dyDescent="0.2">
      <c r="A1349" s="9"/>
      <c r="B1349" s="62"/>
      <c r="C1349" s="50"/>
      <c r="D1349" s="51"/>
      <c r="E1349" s="9"/>
      <c r="F1349" s="5"/>
      <c r="G1349" s="5"/>
    </row>
    <row r="1350" spans="1:7" s="56" customFormat="1" x14ac:dyDescent="0.2">
      <c r="A1350" s="9"/>
      <c r="B1350" s="62"/>
      <c r="C1350" s="50"/>
      <c r="D1350" s="51"/>
      <c r="E1350" s="9"/>
      <c r="F1350" s="5"/>
      <c r="G1350" s="5"/>
    </row>
    <row r="1351" spans="1:7" s="56" customFormat="1" x14ac:dyDescent="0.2">
      <c r="A1351" s="9"/>
      <c r="B1351" s="62"/>
      <c r="C1351" s="50"/>
      <c r="D1351" s="51"/>
      <c r="E1351" s="9"/>
      <c r="F1351" s="5"/>
      <c r="G1351" s="5"/>
    </row>
    <row r="1352" spans="1:7" s="56" customFormat="1" x14ac:dyDescent="0.2">
      <c r="A1352" s="9"/>
      <c r="B1352" s="62"/>
      <c r="C1352" s="50"/>
      <c r="D1352" s="51"/>
      <c r="E1352" s="9"/>
      <c r="F1352" s="5"/>
      <c r="G1352" s="5"/>
    </row>
    <row r="1353" spans="1:7" s="56" customFormat="1" x14ac:dyDescent="0.2">
      <c r="A1353" s="9"/>
      <c r="B1353" s="62"/>
      <c r="C1353" s="50"/>
      <c r="D1353" s="51"/>
      <c r="E1353" s="9"/>
      <c r="F1353" s="5"/>
      <c r="G1353" s="5"/>
    </row>
    <row r="1354" spans="1:7" s="56" customFormat="1" x14ac:dyDescent="0.2">
      <c r="A1354" s="9"/>
      <c r="B1354" s="62"/>
      <c r="C1354" s="50"/>
      <c r="D1354" s="51"/>
      <c r="E1354" s="9"/>
      <c r="F1354" s="5"/>
      <c r="G1354" s="5"/>
    </row>
    <row r="1355" spans="1:7" s="56" customFormat="1" x14ac:dyDescent="0.2">
      <c r="A1355" s="9"/>
      <c r="B1355" s="62"/>
      <c r="C1355" s="50"/>
      <c r="D1355" s="51"/>
      <c r="E1355" s="9"/>
      <c r="F1355" s="5"/>
      <c r="G1355" s="5"/>
    </row>
    <row r="1356" spans="1:7" s="56" customFormat="1" x14ac:dyDescent="0.2">
      <c r="A1356" s="9"/>
      <c r="B1356" s="62"/>
      <c r="C1356" s="50"/>
      <c r="D1356" s="51"/>
      <c r="E1356" s="9"/>
      <c r="F1356" s="5"/>
      <c r="G1356" s="5"/>
    </row>
    <row r="1357" spans="1:7" s="56" customFormat="1" x14ac:dyDescent="0.2">
      <c r="A1357" s="9"/>
      <c r="B1357" s="62"/>
      <c r="C1357" s="50"/>
      <c r="D1357" s="51"/>
      <c r="E1357" s="9"/>
      <c r="F1357" s="5"/>
      <c r="G1357" s="5"/>
    </row>
    <row r="1358" spans="1:7" s="56" customFormat="1" x14ac:dyDescent="0.2">
      <c r="A1358" s="9"/>
      <c r="B1358" s="62"/>
      <c r="C1358" s="50"/>
      <c r="D1358" s="51"/>
      <c r="E1358" s="9"/>
      <c r="F1358" s="5"/>
      <c r="G1358" s="5"/>
    </row>
    <row r="1359" spans="1:7" s="56" customFormat="1" x14ac:dyDescent="0.2">
      <c r="A1359" s="9"/>
      <c r="B1359" s="62"/>
      <c r="C1359" s="50"/>
      <c r="D1359" s="51"/>
      <c r="E1359" s="9"/>
      <c r="F1359" s="5"/>
      <c r="G1359" s="5"/>
    </row>
    <row r="1360" spans="1:7" s="56" customFormat="1" x14ac:dyDescent="0.2">
      <c r="A1360" s="9"/>
      <c r="B1360" s="62"/>
      <c r="C1360" s="50"/>
      <c r="D1360" s="51"/>
      <c r="E1360" s="9"/>
      <c r="F1360" s="5"/>
      <c r="G1360" s="5"/>
    </row>
    <row r="1361" spans="1:7" s="56" customFormat="1" x14ac:dyDescent="0.2">
      <c r="A1361" s="9"/>
      <c r="B1361" s="62"/>
      <c r="C1361" s="50"/>
      <c r="D1361" s="51"/>
      <c r="E1361" s="9"/>
      <c r="F1361" s="5"/>
      <c r="G1361" s="5"/>
    </row>
    <row r="1362" spans="1:7" s="56" customFormat="1" x14ac:dyDescent="0.2">
      <c r="A1362" s="9"/>
      <c r="B1362" s="62"/>
      <c r="C1362" s="50"/>
      <c r="D1362" s="51"/>
      <c r="E1362" s="9"/>
      <c r="F1362" s="5"/>
      <c r="G1362" s="5"/>
    </row>
    <row r="1363" spans="1:7" s="56" customFormat="1" x14ac:dyDescent="0.2">
      <c r="A1363" s="9"/>
      <c r="B1363" s="62"/>
      <c r="C1363" s="50"/>
      <c r="D1363" s="51"/>
      <c r="E1363" s="9"/>
      <c r="F1363" s="5"/>
      <c r="G1363" s="5"/>
    </row>
    <row r="1364" spans="1:7" s="56" customFormat="1" x14ac:dyDescent="0.2">
      <c r="A1364" s="9"/>
      <c r="B1364" s="62"/>
      <c r="C1364" s="50"/>
      <c r="D1364" s="51"/>
      <c r="E1364" s="9"/>
      <c r="F1364" s="5"/>
      <c r="G1364" s="5"/>
    </row>
    <row r="1365" spans="1:7" s="56" customFormat="1" x14ac:dyDescent="0.2">
      <c r="A1365" s="9"/>
      <c r="B1365" s="62"/>
      <c r="C1365" s="50"/>
      <c r="D1365" s="51"/>
      <c r="E1365" s="9"/>
      <c r="F1365" s="5"/>
      <c r="G1365" s="5"/>
    </row>
    <row r="1366" spans="1:7" s="56" customFormat="1" x14ac:dyDescent="0.2">
      <c r="A1366" s="9"/>
      <c r="B1366" s="62"/>
      <c r="C1366" s="50"/>
      <c r="D1366" s="51"/>
      <c r="E1366" s="9"/>
      <c r="F1366" s="5"/>
      <c r="G1366" s="5"/>
    </row>
    <row r="1367" spans="1:7" s="56" customFormat="1" x14ac:dyDescent="0.2">
      <c r="A1367" s="9"/>
      <c r="B1367" s="62"/>
      <c r="C1367" s="50"/>
      <c r="D1367" s="51"/>
      <c r="E1367" s="9"/>
      <c r="F1367" s="5"/>
      <c r="G1367" s="5"/>
    </row>
    <row r="1368" spans="1:7" s="56" customFormat="1" x14ac:dyDescent="0.2">
      <c r="A1368" s="9"/>
      <c r="B1368" s="62"/>
      <c r="C1368" s="50"/>
      <c r="D1368" s="51"/>
      <c r="E1368" s="9"/>
      <c r="F1368" s="5"/>
      <c r="G1368" s="5"/>
    </row>
    <row r="1369" spans="1:7" s="56" customFormat="1" x14ac:dyDescent="0.2">
      <c r="A1369" s="9"/>
      <c r="B1369" s="62"/>
      <c r="C1369" s="50"/>
      <c r="D1369" s="51"/>
      <c r="E1369" s="9"/>
      <c r="F1369" s="5"/>
      <c r="G1369" s="5"/>
    </row>
    <row r="1370" spans="1:7" s="56" customFormat="1" x14ac:dyDescent="0.2">
      <c r="A1370" s="9"/>
      <c r="B1370" s="62"/>
      <c r="C1370" s="50"/>
      <c r="D1370" s="51"/>
      <c r="E1370" s="9"/>
      <c r="F1370" s="5"/>
      <c r="G1370" s="5"/>
    </row>
    <row r="1371" spans="1:7" s="56" customFormat="1" x14ac:dyDescent="0.2">
      <c r="A1371" s="9"/>
      <c r="B1371" s="62"/>
      <c r="C1371" s="50"/>
      <c r="D1371" s="51"/>
      <c r="E1371" s="9"/>
      <c r="F1371" s="5"/>
      <c r="G1371" s="5"/>
    </row>
    <row r="1372" spans="1:7" s="56" customFormat="1" x14ac:dyDescent="0.2">
      <c r="A1372" s="9"/>
      <c r="B1372" s="62"/>
      <c r="C1372" s="50"/>
      <c r="D1372" s="51"/>
      <c r="E1372" s="9"/>
      <c r="F1372" s="5"/>
      <c r="G1372" s="5"/>
    </row>
    <row r="1373" spans="1:7" s="56" customFormat="1" x14ac:dyDescent="0.2">
      <c r="A1373" s="9"/>
      <c r="B1373" s="62"/>
      <c r="C1373" s="50"/>
      <c r="D1373" s="51"/>
      <c r="E1373" s="9"/>
      <c r="F1373" s="5"/>
      <c r="G1373" s="5"/>
    </row>
    <row r="1374" spans="1:7" s="56" customFormat="1" x14ac:dyDescent="0.2">
      <c r="A1374" s="9"/>
      <c r="B1374" s="62"/>
      <c r="C1374" s="50"/>
      <c r="D1374" s="51"/>
      <c r="E1374" s="9"/>
      <c r="F1374" s="5"/>
      <c r="G1374" s="5"/>
    </row>
    <row r="1375" spans="1:7" s="56" customFormat="1" x14ac:dyDescent="0.2">
      <c r="A1375" s="9"/>
      <c r="B1375" s="62"/>
      <c r="C1375" s="50"/>
      <c r="D1375" s="51"/>
      <c r="E1375" s="9"/>
      <c r="F1375" s="5"/>
      <c r="G1375" s="5"/>
    </row>
    <row r="1376" spans="1:7" s="56" customFormat="1" x14ac:dyDescent="0.2">
      <c r="A1376" s="9"/>
      <c r="B1376" s="62"/>
      <c r="C1376" s="50"/>
      <c r="D1376" s="51"/>
      <c r="E1376" s="9"/>
      <c r="F1376" s="5"/>
      <c r="G1376" s="5"/>
    </row>
    <row r="1377" spans="1:7" s="56" customFormat="1" x14ac:dyDescent="0.2">
      <c r="A1377" s="9"/>
      <c r="B1377" s="62"/>
      <c r="C1377" s="50"/>
      <c r="D1377" s="51"/>
      <c r="E1377" s="9"/>
      <c r="F1377" s="5"/>
      <c r="G1377" s="5"/>
    </row>
    <row r="1378" spans="1:7" s="56" customFormat="1" x14ac:dyDescent="0.2">
      <c r="A1378" s="9"/>
      <c r="B1378" s="62"/>
      <c r="C1378" s="50"/>
      <c r="D1378" s="51"/>
      <c r="E1378" s="9"/>
      <c r="F1378" s="5"/>
      <c r="G1378" s="5"/>
    </row>
    <row r="1379" spans="1:7" s="56" customFormat="1" x14ac:dyDescent="0.2">
      <c r="A1379" s="9"/>
      <c r="B1379" s="62"/>
      <c r="C1379" s="50"/>
      <c r="D1379" s="51"/>
      <c r="E1379" s="9"/>
      <c r="F1379" s="5"/>
      <c r="G1379" s="5"/>
    </row>
    <row r="1380" spans="1:7" s="56" customFormat="1" x14ac:dyDescent="0.2">
      <c r="A1380" s="9"/>
      <c r="B1380" s="62"/>
      <c r="C1380" s="50"/>
      <c r="D1380" s="51"/>
      <c r="E1380" s="9"/>
      <c r="F1380" s="5"/>
      <c r="G1380" s="5"/>
    </row>
    <row r="1381" spans="1:7" s="56" customFormat="1" x14ac:dyDescent="0.2">
      <c r="A1381" s="9"/>
      <c r="B1381" s="62"/>
      <c r="C1381" s="50"/>
      <c r="D1381" s="51"/>
      <c r="E1381" s="9"/>
      <c r="F1381" s="5"/>
      <c r="G1381" s="5"/>
    </row>
    <row r="1382" spans="1:7" s="56" customFormat="1" x14ac:dyDescent="0.2">
      <c r="A1382" s="9"/>
      <c r="B1382" s="62"/>
      <c r="C1382" s="50"/>
      <c r="D1382" s="51"/>
      <c r="E1382" s="9"/>
      <c r="F1382" s="5"/>
      <c r="G1382" s="5"/>
    </row>
    <row r="1383" spans="1:7" s="56" customFormat="1" x14ac:dyDescent="0.2">
      <c r="A1383" s="9"/>
      <c r="B1383" s="62"/>
      <c r="C1383" s="50"/>
      <c r="D1383" s="51"/>
      <c r="E1383" s="9"/>
      <c r="F1383" s="5"/>
      <c r="G1383" s="5"/>
    </row>
    <row r="1384" spans="1:7" s="56" customFormat="1" x14ac:dyDescent="0.2">
      <c r="A1384" s="9"/>
      <c r="B1384" s="62"/>
      <c r="C1384" s="50"/>
      <c r="D1384" s="51"/>
      <c r="E1384" s="9"/>
      <c r="F1384" s="5"/>
      <c r="G1384" s="5"/>
    </row>
    <row r="1385" spans="1:7" s="56" customFormat="1" x14ac:dyDescent="0.2">
      <c r="A1385" s="9"/>
      <c r="B1385" s="62"/>
      <c r="C1385" s="50"/>
      <c r="D1385" s="51"/>
      <c r="E1385" s="9"/>
      <c r="F1385" s="5"/>
      <c r="G1385" s="5"/>
    </row>
    <row r="1386" spans="1:7" s="56" customFormat="1" x14ac:dyDescent="0.2">
      <c r="A1386" s="9"/>
      <c r="B1386" s="62"/>
      <c r="C1386" s="50"/>
      <c r="D1386" s="51"/>
      <c r="E1386" s="9"/>
      <c r="F1386" s="5"/>
      <c r="G1386" s="5"/>
    </row>
    <row r="1387" spans="1:7" s="56" customFormat="1" x14ac:dyDescent="0.2">
      <c r="A1387" s="9"/>
      <c r="B1387" s="62"/>
      <c r="C1387" s="50"/>
      <c r="D1387" s="51"/>
      <c r="E1387" s="9"/>
      <c r="F1387" s="5"/>
      <c r="G1387" s="5"/>
    </row>
    <row r="1388" spans="1:7" s="56" customFormat="1" x14ac:dyDescent="0.2">
      <c r="A1388" s="9"/>
      <c r="B1388" s="62"/>
      <c r="C1388" s="50"/>
      <c r="D1388" s="51"/>
      <c r="E1388" s="9"/>
      <c r="F1388" s="5"/>
      <c r="G1388" s="5"/>
    </row>
    <row r="1389" spans="1:7" s="56" customFormat="1" x14ac:dyDescent="0.2">
      <c r="A1389" s="9"/>
      <c r="B1389" s="62"/>
      <c r="C1389" s="50"/>
      <c r="D1389" s="51"/>
      <c r="E1389" s="9"/>
      <c r="F1389" s="5"/>
      <c r="G1389" s="5"/>
    </row>
    <row r="1390" spans="1:7" s="56" customFormat="1" x14ac:dyDescent="0.2">
      <c r="A1390" s="9"/>
      <c r="B1390" s="62"/>
      <c r="C1390" s="50"/>
      <c r="D1390" s="51"/>
      <c r="E1390" s="9"/>
      <c r="F1390" s="5"/>
      <c r="G1390" s="5"/>
    </row>
    <row r="1391" spans="1:7" s="56" customFormat="1" x14ac:dyDescent="0.2">
      <c r="A1391" s="9"/>
      <c r="B1391" s="62"/>
      <c r="C1391" s="50"/>
      <c r="D1391" s="51"/>
      <c r="E1391" s="9"/>
      <c r="F1391" s="5"/>
      <c r="G1391" s="5"/>
    </row>
    <row r="1392" spans="1:7" s="56" customFormat="1" x14ac:dyDescent="0.2">
      <c r="A1392" s="9"/>
      <c r="B1392" s="62"/>
      <c r="C1392" s="50"/>
      <c r="D1392" s="51"/>
      <c r="E1392" s="9"/>
      <c r="F1392" s="5"/>
      <c r="G1392" s="5"/>
    </row>
    <row r="1393" spans="1:7" s="56" customFormat="1" x14ac:dyDescent="0.2">
      <c r="A1393" s="9"/>
      <c r="B1393" s="62"/>
      <c r="C1393" s="50"/>
      <c r="D1393" s="51"/>
      <c r="E1393" s="9"/>
      <c r="F1393" s="5"/>
      <c r="G1393" s="5"/>
    </row>
    <row r="1394" spans="1:7" s="56" customFormat="1" x14ac:dyDescent="0.2">
      <c r="A1394" s="9"/>
      <c r="B1394" s="62"/>
      <c r="C1394" s="50"/>
      <c r="D1394" s="51"/>
      <c r="E1394" s="9"/>
      <c r="F1394" s="5"/>
      <c r="G1394" s="5"/>
    </row>
    <row r="1395" spans="1:7" s="56" customFormat="1" x14ac:dyDescent="0.2">
      <c r="A1395" s="9"/>
      <c r="B1395" s="62"/>
      <c r="C1395" s="50"/>
      <c r="D1395" s="51"/>
      <c r="E1395" s="9"/>
      <c r="F1395" s="5"/>
      <c r="G1395" s="5"/>
    </row>
    <row r="1396" spans="1:7" s="56" customFormat="1" x14ac:dyDescent="0.2">
      <c r="A1396" s="9"/>
      <c r="B1396" s="62"/>
      <c r="C1396" s="50"/>
      <c r="D1396" s="51"/>
      <c r="E1396" s="9"/>
      <c r="F1396" s="5"/>
      <c r="G1396" s="5"/>
    </row>
    <row r="1397" spans="1:7" s="56" customFormat="1" x14ac:dyDescent="0.2">
      <c r="A1397" s="9"/>
      <c r="B1397" s="62"/>
      <c r="C1397" s="50"/>
      <c r="D1397" s="51"/>
      <c r="E1397" s="9"/>
      <c r="F1397" s="5"/>
      <c r="G1397" s="5"/>
    </row>
    <row r="1398" spans="1:7" s="56" customFormat="1" x14ac:dyDescent="0.2">
      <c r="A1398" s="9"/>
      <c r="B1398" s="62"/>
      <c r="C1398" s="50"/>
      <c r="D1398" s="51"/>
      <c r="E1398" s="9"/>
      <c r="F1398" s="5"/>
      <c r="G1398" s="5"/>
    </row>
    <row r="1399" spans="1:7" s="56" customFormat="1" x14ac:dyDescent="0.2">
      <c r="A1399" s="9"/>
      <c r="B1399" s="62"/>
      <c r="C1399" s="50"/>
      <c r="D1399" s="51"/>
      <c r="E1399" s="9"/>
      <c r="F1399" s="5"/>
      <c r="G1399" s="5"/>
    </row>
    <row r="1400" spans="1:7" s="56" customFormat="1" x14ac:dyDescent="0.2">
      <c r="A1400" s="9"/>
      <c r="B1400" s="62"/>
      <c r="C1400" s="50"/>
      <c r="D1400" s="51"/>
      <c r="E1400" s="9"/>
      <c r="F1400" s="5"/>
      <c r="G1400" s="5"/>
    </row>
    <row r="1401" spans="1:7" s="56" customFormat="1" x14ac:dyDescent="0.2">
      <c r="A1401" s="9"/>
      <c r="B1401" s="62"/>
      <c r="C1401" s="50"/>
      <c r="D1401" s="51"/>
      <c r="E1401" s="9"/>
      <c r="F1401" s="5"/>
      <c r="G1401" s="5"/>
    </row>
    <row r="1402" spans="1:7" s="56" customFormat="1" x14ac:dyDescent="0.2">
      <c r="A1402" s="9"/>
      <c r="B1402" s="62"/>
      <c r="C1402" s="50"/>
      <c r="D1402" s="51"/>
      <c r="E1402" s="9"/>
      <c r="F1402" s="5"/>
      <c r="G1402" s="5"/>
    </row>
    <row r="1403" spans="1:7" s="56" customFormat="1" x14ac:dyDescent="0.2">
      <c r="A1403" s="9"/>
      <c r="B1403" s="62"/>
      <c r="C1403" s="50"/>
      <c r="D1403" s="51"/>
      <c r="E1403" s="9"/>
      <c r="F1403" s="5"/>
      <c r="G1403" s="5"/>
    </row>
    <row r="1404" spans="1:7" s="56" customFormat="1" x14ac:dyDescent="0.2">
      <c r="A1404" s="9"/>
      <c r="B1404" s="62"/>
      <c r="C1404" s="50"/>
      <c r="D1404" s="51"/>
      <c r="E1404" s="9"/>
      <c r="F1404" s="5"/>
      <c r="G1404" s="5"/>
    </row>
    <row r="1405" spans="1:7" s="56" customFormat="1" x14ac:dyDescent="0.2">
      <c r="A1405" s="9"/>
      <c r="B1405" s="62"/>
      <c r="C1405" s="50"/>
      <c r="D1405" s="51"/>
      <c r="E1405" s="9"/>
      <c r="F1405" s="5"/>
      <c r="G1405" s="5"/>
    </row>
    <row r="1406" spans="1:7" s="56" customFormat="1" x14ac:dyDescent="0.2">
      <c r="A1406" s="9"/>
      <c r="B1406" s="62"/>
      <c r="C1406" s="50"/>
      <c r="D1406" s="51"/>
      <c r="E1406" s="9"/>
      <c r="F1406" s="5"/>
      <c r="G1406" s="5"/>
    </row>
    <row r="1407" spans="1:7" s="56" customFormat="1" x14ac:dyDescent="0.2">
      <c r="A1407" s="9"/>
      <c r="B1407" s="62"/>
      <c r="C1407" s="50"/>
      <c r="D1407" s="51"/>
      <c r="E1407" s="9"/>
      <c r="F1407" s="5"/>
      <c r="G1407" s="5"/>
    </row>
    <row r="1408" spans="1:7" s="56" customFormat="1" x14ac:dyDescent="0.2">
      <c r="A1408" s="9"/>
      <c r="B1408" s="62"/>
      <c r="C1408" s="50"/>
      <c r="D1408" s="51"/>
      <c r="E1408" s="9"/>
      <c r="F1408" s="5"/>
      <c r="G1408" s="5"/>
    </row>
    <row r="1409" spans="1:7" s="56" customFormat="1" x14ac:dyDescent="0.2">
      <c r="A1409" s="9"/>
      <c r="B1409" s="62"/>
      <c r="C1409" s="50"/>
      <c r="D1409" s="51"/>
      <c r="E1409" s="9"/>
      <c r="F1409" s="5"/>
      <c r="G1409" s="5"/>
    </row>
    <row r="1410" spans="1:7" s="56" customFormat="1" x14ac:dyDescent="0.2">
      <c r="A1410" s="9"/>
      <c r="B1410" s="62"/>
      <c r="C1410" s="50"/>
      <c r="D1410" s="51"/>
      <c r="E1410" s="9"/>
      <c r="F1410" s="5"/>
      <c r="G1410" s="5"/>
    </row>
    <row r="1411" spans="1:7" s="56" customFormat="1" x14ac:dyDescent="0.2">
      <c r="A1411" s="9"/>
      <c r="B1411" s="62"/>
      <c r="C1411" s="50"/>
      <c r="D1411" s="51"/>
      <c r="E1411" s="9"/>
      <c r="F1411" s="5"/>
      <c r="G1411" s="5"/>
    </row>
    <row r="1412" spans="1:7" s="56" customFormat="1" x14ac:dyDescent="0.2">
      <c r="A1412" s="9"/>
      <c r="B1412" s="62"/>
      <c r="C1412" s="50"/>
      <c r="D1412" s="51"/>
      <c r="E1412" s="9"/>
      <c r="F1412" s="5"/>
      <c r="G1412" s="5"/>
    </row>
    <row r="1413" spans="1:7" s="56" customFormat="1" x14ac:dyDescent="0.2">
      <c r="A1413" s="9"/>
      <c r="B1413" s="62"/>
      <c r="C1413" s="50"/>
      <c r="D1413" s="51"/>
      <c r="E1413" s="9"/>
      <c r="F1413" s="5"/>
      <c r="G1413" s="5"/>
    </row>
    <row r="1414" spans="1:7" s="56" customFormat="1" x14ac:dyDescent="0.2">
      <c r="A1414" s="9"/>
      <c r="B1414" s="62"/>
      <c r="C1414" s="50"/>
      <c r="D1414" s="51"/>
      <c r="E1414" s="9"/>
      <c r="F1414" s="5"/>
      <c r="G1414" s="5"/>
    </row>
    <row r="1415" spans="1:7" s="56" customFormat="1" x14ac:dyDescent="0.2">
      <c r="A1415" s="9"/>
      <c r="B1415" s="62"/>
      <c r="C1415" s="50"/>
      <c r="D1415" s="51"/>
      <c r="E1415" s="9"/>
      <c r="F1415" s="5"/>
      <c r="G1415" s="5"/>
    </row>
    <row r="1416" spans="1:7" s="56" customFormat="1" x14ac:dyDescent="0.2">
      <c r="A1416" s="9"/>
      <c r="B1416" s="62"/>
      <c r="C1416" s="50"/>
      <c r="D1416" s="51"/>
      <c r="E1416" s="9"/>
      <c r="F1416" s="5"/>
      <c r="G1416" s="5"/>
    </row>
    <row r="1417" spans="1:7" s="56" customFormat="1" x14ac:dyDescent="0.2">
      <c r="A1417" s="9"/>
      <c r="B1417" s="62"/>
      <c r="C1417" s="50"/>
      <c r="D1417" s="51"/>
      <c r="E1417" s="9"/>
      <c r="F1417" s="5"/>
      <c r="G1417" s="5"/>
    </row>
    <row r="1418" spans="1:7" s="56" customFormat="1" x14ac:dyDescent="0.2">
      <c r="A1418" s="9"/>
      <c r="B1418" s="62"/>
      <c r="C1418" s="50"/>
      <c r="D1418" s="51"/>
      <c r="E1418" s="9"/>
      <c r="F1418" s="5"/>
      <c r="G1418" s="5"/>
    </row>
    <row r="1419" spans="1:7" s="56" customFormat="1" x14ac:dyDescent="0.2">
      <c r="A1419" s="9"/>
      <c r="B1419" s="62"/>
      <c r="C1419" s="50"/>
      <c r="D1419" s="51"/>
      <c r="E1419" s="9"/>
      <c r="F1419" s="5"/>
      <c r="G1419" s="5"/>
    </row>
    <row r="1420" spans="1:7" s="56" customFormat="1" x14ac:dyDescent="0.2">
      <c r="A1420" s="9"/>
      <c r="B1420" s="62"/>
      <c r="C1420" s="50"/>
      <c r="D1420" s="51"/>
      <c r="E1420" s="9"/>
      <c r="F1420" s="5"/>
      <c r="G1420" s="5"/>
    </row>
    <row r="1421" spans="1:7" s="56" customFormat="1" x14ac:dyDescent="0.2">
      <c r="A1421" s="9"/>
      <c r="B1421" s="62"/>
      <c r="C1421" s="50"/>
      <c r="D1421" s="51"/>
      <c r="E1421" s="9"/>
      <c r="F1421" s="5"/>
      <c r="G1421" s="5"/>
    </row>
    <row r="1422" spans="1:7" s="56" customFormat="1" x14ac:dyDescent="0.2">
      <c r="A1422" s="9"/>
      <c r="B1422" s="62"/>
      <c r="C1422" s="50"/>
      <c r="D1422" s="51"/>
      <c r="E1422" s="9"/>
      <c r="F1422" s="5"/>
      <c r="G1422" s="5"/>
    </row>
    <row r="1423" spans="1:7" s="56" customFormat="1" x14ac:dyDescent="0.2">
      <c r="A1423" s="9"/>
      <c r="B1423" s="62"/>
      <c r="C1423" s="50"/>
      <c r="D1423" s="51"/>
      <c r="E1423" s="9"/>
      <c r="F1423" s="5"/>
      <c r="G1423" s="5"/>
    </row>
    <row r="1424" spans="1:7" s="56" customFormat="1" x14ac:dyDescent="0.2">
      <c r="A1424" s="9"/>
      <c r="B1424" s="62"/>
      <c r="C1424" s="50"/>
      <c r="D1424" s="51"/>
      <c r="E1424" s="9"/>
      <c r="F1424" s="5"/>
      <c r="G1424" s="5"/>
    </row>
    <row r="1425" spans="1:7" s="56" customFormat="1" x14ac:dyDescent="0.2">
      <c r="A1425" s="9"/>
      <c r="B1425" s="62"/>
      <c r="C1425" s="50"/>
      <c r="D1425" s="51"/>
      <c r="E1425" s="9"/>
      <c r="F1425" s="5"/>
      <c r="G1425" s="5"/>
    </row>
    <row r="1426" spans="1:7" s="56" customFormat="1" x14ac:dyDescent="0.2">
      <c r="A1426" s="9"/>
      <c r="B1426" s="62"/>
      <c r="C1426" s="50"/>
      <c r="D1426" s="51"/>
      <c r="E1426" s="9"/>
      <c r="F1426" s="5"/>
      <c r="G1426" s="5"/>
    </row>
    <row r="1427" spans="1:7" s="56" customFormat="1" x14ac:dyDescent="0.2">
      <c r="A1427" s="9"/>
      <c r="B1427" s="62"/>
      <c r="C1427" s="50"/>
      <c r="D1427" s="51"/>
      <c r="E1427" s="9"/>
      <c r="F1427" s="5"/>
      <c r="G1427" s="5"/>
    </row>
    <row r="1428" spans="1:7" s="56" customFormat="1" x14ac:dyDescent="0.2">
      <c r="A1428" s="9"/>
      <c r="B1428" s="62"/>
      <c r="C1428" s="50"/>
      <c r="D1428" s="51"/>
      <c r="E1428" s="9"/>
      <c r="F1428" s="5"/>
      <c r="G1428" s="5"/>
    </row>
    <row r="1429" spans="1:7" s="56" customFormat="1" x14ac:dyDescent="0.2">
      <c r="A1429" s="9"/>
      <c r="B1429" s="62"/>
      <c r="C1429" s="50"/>
      <c r="D1429" s="51"/>
      <c r="E1429" s="9"/>
      <c r="F1429" s="5"/>
      <c r="G1429" s="5"/>
    </row>
    <row r="1430" spans="1:7" s="56" customFormat="1" x14ac:dyDescent="0.2">
      <c r="A1430" s="9"/>
      <c r="B1430" s="62"/>
      <c r="C1430" s="50"/>
      <c r="D1430" s="51"/>
      <c r="E1430" s="9"/>
      <c r="F1430" s="5"/>
      <c r="G1430" s="5"/>
    </row>
    <row r="1431" spans="1:7" s="56" customFormat="1" x14ac:dyDescent="0.2">
      <c r="A1431" s="9"/>
      <c r="B1431" s="62"/>
      <c r="C1431" s="50"/>
      <c r="D1431" s="51"/>
      <c r="E1431" s="9"/>
      <c r="F1431" s="5"/>
      <c r="G1431" s="5"/>
    </row>
    <row r="1432" spans="1:7" s="56" customFormat="1" x14ac:dyDescent="0.2">
      <c r="A1432" s="9"/>
      <c r="B1432" s="62"/>
      <c r="C1432" s="50"/>
      <c r="D1432" s="51"/>
      <c r="E1432" s="9"/>
      <c r="F1432" s="5"/>
      <c r="G1432" s="5"/>
    </row>
    <row r="1433" spans="1:7" s="56" customFormat="1" x14ac:dyDescent="0.2">
      <c r="A1433" s="9"/>
      <c r="B1433" s="62"/>
      <c r="C1433" s="50"/>
      <c r="D1433" s="51"/>
      <c r="E1433" s="9"/>
      <c r="F1433" s="5"/>
      <c r="G1433" s="5"/>
    </row>
    <row r="1434" spans="1:7" s="56" customFormat="1" x14ac:dyDescent="0.2">
      <c r="A1434" s="9"/>
      <c r="B1434" s="62"/>
      <c r="C1434" s="50"/>
      <c r="D1434" s="51"/>
      <c r="E1434" s="9"/>
      <c r="F1434" s="5"/>
      <c r="G1434" s="5"/>
    </row>
    <row r="1435" spans="1:7" s="56" customFormat="1" x14ac:dyDescent="0.2">
      <c r="A1435" s="9"/>
      <c r="B1435" s="62"/>
      <c r="C1435" s="50"/>
      <c r="D1435" s="51"/>
      <c r="E1435" s="9"/>
      <c r="F1435" s="5"/>
      <c r="G1435" s="5"/>
    </row>
    <row r="1436" spans="1:7" s="56" customFormat="1" x14ac:dyDescent="0.2">
      <c r="A1436" s="9"/>
      <c r="B1436" s="62"/>
      <c r="C1436" s="50"/>
      <c r="D1436" s="51"/>
      <c r="E1436" s="9"/>
      <c r="F1436" s="5"/>
      <c r="G1436" s="5"/>
    </row>
    <row r="1437" spans="1:7" s="56" customFormat="1" x14ac:dyDescent="0.2">
      <c r="A1437" s="9"/>
      <c r="B1437" s="62"/>
      <c r="C1437" s="50"/>
      <c r="D1437" s="51"/>
      <c r="E1437" s="9"/>
      <c r="F1437" s="5"/>
      <c r="G1437" s="5"/>
    </row>
    <row r="1438" spans="1:7" s="56" customFormat="1" x14ac:dyDescent="0.2">
      <c r="A1438" s="40"/>
      <c r="B1438" s="3"/>
      <c r="C1438" s="50"/>
      <c r="D1438" s="51"/>
      <c r="E1438" s="9"/>
      <c r="F1438" s="5"/>
      <c r="G1438" s="5"/>
    </row>
    <row r="1439" spans="1:7" s="56" customFormat="1" x14ac:dyDescent="0.2">
      <c r="A1439" s="40"/>
      <c r="B1439" s="3"/>
      <c r="C1439" s="50"/>
      <c r="D1439" s="51"/>
      <c r="E1439" s="9"/>
      <c r="F1439" s="5"/>
      <c r="G1439" s="5"/>
    </row>
    <row r="1440" spans="1:7" s="56" customFormat="1" x14ac:dyDescent="0.2">
      <c r="A1440" s="40"/>
      <c r="B1440" s="3"/>
      <c r="C1440" s="50"/>
      <c r="D1440" s="51"/>
      <c r="E1440" s="9"/>
      <c r="F1440" s="5"/>
      <c r="G1440" s="5"/>
    </row>
    <row r="1441" spans="1:7" s="56" customFormat="1" x14ac:dyDescent="0.2">
      <c r="A1441" s="40"/>
      <c r="B1441" s="3"/>
      <c r="C1441" s="50"/>
      <c r="D1441" s="51"/>
      <c r="E1441" s="9"/>
      <c r="F1441" s="5"/>
      <c r="G1441" s="5"/>
    </row>
    <row r="1442" spans="1:7" s="56" customFormat="1" x14ac:dyDescent="0.2">
      <c r="A1442" s="40"/>
      <c r="B1442" s="3"/>
      <c r="C1442" s="50"/>
      <c r="D1442" s="51"/>
      <c r="E1442" s="9"/>
      <c r="F1442" s="5"/>
      <c r="G1442" s="5"/>
    </row>
    <row r="1443" spans="1:7" s="56" customFormat="1" x14ac:dyDescent="0.2">
      <c r="A1443" s="40"/>
      <c r="B1443" s="3"/>
      <c r="C1443" s="50"/>
      <c r="D1443" s="51"/>
      <c r="E1443" s="9"/>
      <c r="F1443" s="5"/>
      <c r="G1443" s="5"/>
    </row>
    <row r="1444" spans="1:7" s="56" customFormat="1" x14ac:dyDescent="0.2">
      <c r="A1444" s="40"/>
      <c r="B1444" s="3"/>
      <c r="C1444" s="50"/>
      <c r="D1444" s="51"/>
      <c r="E1444" s="9"/>
      <c r="F1444" s="5"/>
      <c r="G1444" s="5"/>
    </row>
    <row r="1445" spans="1:7" s="56" customFormat="1" x14ac:dyDescent="0.2">
      <c r="A1445" s="40"/>
      <c r="B1445" s="3"/>
      <c r="C1445" s="50"/>
      <c r="D1445" s="51"/>
      <c r="E1445" s="9"/>
      <c r="F1445" s="5"/>
      <c r="G1445" s="5"/>
    </row>
    <row r="1446" spans="1:7" s="56" customFormat="1" x14ac:dyDescent="0.2">
      <c r="A1446" s="40"/>
      <c r="B1446" s="3"/>
      <c r="C1446" s="50"/>
      <c r="D1446" s="51"/>
      <c r="E1446" s="9"/>
      <c r="F1446" s="5"/>
      <c r="G1446" s="5"/>
    </row>
    <row r="1447" spans="1:7" s="56" customFormat="1" x14ac:dyDescent="0.2">
      <c r="A1447" s="40"/>
      <c r="B1447" s="3"/>
      <c r="C1447" s="50"/>
      <c r="D1447" s="51"/>
      <c r="E1447" s="9"/>
      <c r="F1447" s="5"/>
      <c r="G1447" s="5"/>
    </row>
    <row r="1448" spans="1:7" s="56" customFormat="1" x14ac:dyDescent="0.2">
      <c r="A1448" s="40"/>
      <c r="B1448" s="3"/>
      <c r="C1448" s="50"/>
      <c r="D1448" s="51"/>
      <c r="E1448" s="9"/>
      <c r="F1448" s="5"/>
      <c r="G1448" s="5"/>
    </row>
    <row r="1449" spans="1:7" s="56" customFormat="1" x14ac:dyDescent="0.2">
      <c r="A1449" s="40"/>
      <c r="B1449" s="3"/>
      <c r="C1449" s="50"/>
      <c r="D1449" s="51"/>
      <c r="E1449" s="9"/>
      <c r="F1449" s="5"/>
      <c r="G1449" s="5"/>
    </row>
    <row r="1450" spans="1:7" s="56" customFormat="1" x14ac:dyDescent="0.2">
      <c r="A1450" s="40"/>
      <c r="B1450" s="3"/>
      <c r="C1450" s="50"/>
      <c r="D1450" s="51"/>
      <c r="E1450" s="9"/>
      <c r="F1450" s="5"/>
      <c r="G1450" s="5"/>
    </row>
    <row r="1451" spans="1:7" s="56" customFormat="1" x14ac:dyDescent="0.2">
      <c r="A1451" s="40"/>
      <c r="B1451" s="3"/>
      <c r="C1451" s="50"/>
      <c r="D1451" s="51"/>
      <c r="E1451" s="9"/>
      <c r="F1451" s="5"/>
      <c r="G1451" s="5"/>
    </row>
    <row r="1452" spans="1:7" s="56" customFormat="1" x14ac:dyDescent="0.2">
      <c r="A1452" s="40"/>
      <c r="B1452" s="3"/>
      <c r="C1452" s="50"/>
      <c r="D1452" s="51"/>
      <c r="E1452" s="9"/>
      <c r="F1452" s="5"/>
      <c r="G1452" s="5"/>
    </row>
    <row r="1453" spans="1:7" s="56" customFormat="1" x14ac:dyDescent="0.2">
      <c r="A1453" s="40"/>
      <c r="B1453" s="3"/>
      <c r="C1453" s="50"/>
      <c r="D1453" s="51"/>
      <c r="E1453" s="9"/>
      <c r="F1453" s="5"/>
      <c r="G1453" s="5"/>
    </row>
    <row r="1454" spans="1:7" s="56" customFormat="1" x14ac:dyDescent="0.2">
      <c r="A1454" s="40"/>
      <c r="B1454" s="3"/>
      <c r="C1454" s="50"/>
      <c r="D1454" s="51"/>
      <c r="E1454" s="9"/>
      <c r="F1454" s="5"/>
      <c r="G1454" s="5"/>
    </row>
    <row r="1455" spans="1:7" s="56" customFormat="1" x14ac:dyDescent="0.2">
      <c r="A1455" s="40"/>
      <c r="B1455" s="3"/>
      <c r="C1455" s="50"/>
      <c r="D1455" s="51"/>
      <c r="E1455" s="9"/>
      <c r="F1455" s="5"/>
      <c r="G1455" s="5"/>
    </row>
    <row r="1456" spans="1:7" s="56" customFormat="1" x14ac:dyDescent="0.2">
      <c r="A1456" s="40"/>
      <c r="B1456" s="3"/>
      <c r="C1456" s="50"/>
      <c r="D1456" s="51"/>
      <c r="E1456" s="9"/>
      <c r="F1456" s="5"/>
      <c r="G1456" s="5"/>
    </row>
    <row r="1457" spans="1:7" s="56" customFormat="1" x14ac:dyDescent="0.2">
      <c r="A1457" s="40"/>
      <c r="B1457" s="3"/>
      <c r="C1457" s="50"/>
      <c r="D1457" s="51"/>
      <c r="E1457" s="9"/>
      <c r="F1457" s="5"/>
      <c r="G1457" s="5"/>
    </row>
    <row r="1458" spans="1:7" s="56" customFormat="1" x14ac:dyDescent="0.2">
      <c r="A1458" s="40"/>
      <c r="B1458" s="3"/>
      <c r="C1458" s="50"/>
      <c r="D1458" s="51"/>
      <c r="E1458" s="9"/>
      <c r="F1458" s="5"/>
      <c r="G1458" s="5"/>
    </row>
    <row r="1459" spans="1:7" s="56" customFormat="1" x14ac:dyDescent="0.2">
      <c r="A1459" s="40"/>
      <c r="B1459" s="3"/>
      <c r="C1459" s="50"/>
      <c r="D1459" s="51"/>
      <c r="E1459" s="9"/>
      <c r="F1459" s="5"/>
      <c r="G1459" s="5"/>
    </row>
    <row r="1460" spans="1:7" s="56" customFormat="1" x14ac:dyDescent="0.2">
      <c r="A1460" s="40"/>
      <c r="B1460" s="3"/>
      <c r="C1460" s="50"/>
      <c r="D1460" s="51"/>
      <c r="E1460" s="9"/>
      <c r="F1460" s="5"/>
      <c r="G1460" s="5"/>
    </row>
    <row r="1461" spans="1:7" s="56" customFormat="1" x14ac:dyDescent="0.2">
      <c r="A1461" s="40"/>
      <c r="B1461" s="3"/>
      <c r="C1461" s="50"/>
      <c r="D1461" s="51"/>
      <c r="E1461" s="9"/>
      <c r="F1461" s="5"/>
      <c r="G1461" s="5"/>
    </row>
    <row r="1462" spans="1:7" s="56" customFormat="1" x14ac:dyDescent="0.2">
      <c r="A1462" s="40"/>
      <c r="B1462" s="3"/>
      <c r="C1462" s="50"/>
      <c r="D1462" s="51"/>
      <c r="E1462" s="9"/>
      <c r="F1462" s="5"/>
      <c r="G1462" s="5"/>
    </row>
    <row r="1463" spans="1:7" s="56" customFormat="1" x14ac:dyDescent="0.2">
      <c r="A1463" s="40"/>
      <c r="B1463" s="3"/>
      <c r="C1463" s="50"/>
      <c r="D1463" s="51"/>
      <c r="E1463" s="9"/>
      <c r="F1463" s="5"/>
      <c r="G1463" s="5"/>
    </row>
    <row r="1464" spans="1:7" s="56" customFormat="1" x14ac:dyDescent="0.2">
      <c r="A1464" s="40"/>
      <c r="B1464" s="3"/>
      <c r="C1464" s="50"/>
      <c r="D1464" s="51"/>
      <c r="E1464" s="9"/>
      <c r="F1464" s="5"/>
      <c r="G1464" s="5"/>
    </row>
    <row r="1465" spans="1:7" s="56" customFormat="1" x14ac:dyDescent="0.2">
      <c r="A1465" s="40"/>
      <c r="B1465" s="3"/>
      <c r="C1465" s="50"/>
      <c r="D1465" s="51"/>
      <c r="E1465" s="9"/>
      <c r="F1465" s="5"/>
      <c r="G1465" s="5"/>
    </row>
    <row r="1466" spans="1:7" s="56" customFormat="1" x14ac:dyDescent="0.2">
      <c r="A1466" s="40"/>
      <c r="B1466" s="3"/>
      <c r="C1466" s="50"/>
      <c r="D1466" s="51"/>
      <c r="E1466" s="9"/>
      <c r="F1466" s="5"/>
      <c r="G1466" s="5"/>
    </row>
    <row r="1467" spans="1:7" s="56" customFormat="1" x14ac:dyDescent="0.2">
      <c r="A1467" s="40"/>
      <c r="B1467" s="3"/>
      <c r="C1467" s="50"/>
      <c r="D1467" s="51"/>
      <c r="E1467" s="9"/>
      <c r="F1467" s="5"/>
      <c r="G1467" s="5"/>
    </row>
    <row r="1468" spans="1:7" s="56" customFormat="1" x14ac:dyDescent="0.2">
      <c r="A1468" s="40"/>
      <c r="B1468" s="3"/>
      <c r="C1468" s="50"/>
      <c r="D1468" s="51"/>
      <c r="E1468" s="9"/>
      <c r="F1468" s="5"/>
      <c r="G1468" s="5"/>
    </row>
    <row r="1469" spans="1:7" s="56" customFormat="1" x14ac:dyDescent="0.2">
      <c r="A1469" s="40"/>
      <c r="B1469" s="3"/>
      <c r="C1469" s="50"/>
      <c r="D1469" s="51"/>
      <c r="E1469" s="9"/>
      <c r="F1469" s="5"/>
      <c r="G1469" s="5"/>
    </row>
    <row r="1470" spans="1:7" s="56" customFormat="1" x14ac:dyDescent="0.2">
      <c r="A1470" s="40"/>
      <c r="B1470" s="3"/>
      <c r="C1470" s="50"/>
      <c r="D1470" s="51"/>
      <c r="E1470" s="9"/>
      <c r="F1470" s="5"/>
      <c r="G1470" s="5"/>
    </row>
    <row r="1471" spans="1:7" s="56" customFormat="1" x14ac:dyDescent="0.2">
      <c r="A1471" s="40"/>
      <c r="B1471" s="3"/>
      <c r="C1471" s="50"/>
      <c r="D1471" s="51"/>
      <c r="E1471" s="9"/>
      <c r="F1471" s="5"/>
      <c r="G1471" s="5"/>
    </row>
    <row r="1472" spans="1:7" s="56" customFormat="1" x14ac:dyDescent="0.2">
      <c r="A1472" s="40"/>
      <c r="B1472" s="3"/>
      <c r="C1472" s="50"/>
      <c r="D1472" s="51"/>
      <c r="E1472" s="9"/>
      <c r="F1472" s="5"/>
      <c r="G1472" s="5"/>
    </row>
    <row r="1473" spans="1:7" s="56" customFormat="1" x14ac:dyDescent="0.2">
      <c r="A1473" s="40"/>
      <c r="B1473" s="3"/>
      <c r="C1473" s="50"/>
      <c r="D1473" s="51"/>
      <c r="E1473" s="9"/>
      <c r="F1473" s="5"/>
      <c r="G1473" s="5"/>
    </row>
    <row r="1474" spans="1:7" s="56" customFormat="1" x14ac:dyDescent="0.2">
      <c r="A1474" s="40"/>
      <c r="B1474" s="3"/>
      <c r="C1474" s="50"/>
      <c r="D1474" s="51"/>
      <c r="E1474" s="9"/>
      <c r="F1474" s="5"/>
      <c r="G1474" s="5"/>
    </row>
    <row r="1475" spans="1:7" s="56" customFormat="1" x14ac:dyDescent="0.2">
      <c r="A1475" s="40"/>
      <c r="B1475" s="3"/>
      <c r="C1475" s="50"/>
      <c r="D1475" s="51"/>
      <c r="E1475" s="9"/>
      <c r="F1475" s="5"/>
      <c r="G1475" s="5"/>
    </row>
    <row r="1476" spans="1:7" s="56" customFormat="1" x14ac:dyDescent="0.2">
      <c r="A1476" s="40"/>
      <c r="B1476" s="3"/>
      <c r="C1476" s="50"/>
      <c r="D1476" s="51"/>
      <c r="E1476" s="9"/>
      <c r="F1476" s="5"/>
      <c r="G1476" s="5"/>
    </row>
    <row r="1477" spans="1:7" s="56" customFormat="1" x14ac:dyDescent="0.2">
      <c r="A1477" s="40"/>
      <c r="B1477" s="3"/>
      <c r="C1477" s="50"/>
      <c r="D1477" s="51"/>
      <c r="E1477" s="9"/>
      <c r="F1477" s="5"/>
      <c r="G1477" s="5"/>
    </row>
    <row r="1478" spans="1:7" s="56" customFormat="1" x14ac:dyDescent="0.2">
      <c r="A1478" s="40"/>
      <c r="B1478" s="3"/>
      <c r="C1478" s="50"/>
      <c r="D1478" s="51"/>
      <c r="E1478" s="9"/>
      <c r="F1478" s="5"/>
      <c r="G1478" s="5"/>
    </row>
    <row r="1479" spans="1:7" s="56" customFormat="1" x14ac:dyDescent="0.2">
      <c r="A1479" s="40"/>
      <c r="B1479" s="3"/>
      <c r="C1479" s="50"/>
      <c r="D1479" s="51"/>
      <c r="E1479" s="9"/>
      <c r="F1479" s="5"/>
      <c r="G1479" s="5"/>
    </row>
    <row r="1480" spans="1:7" s="56" customFormat="1" x14ac:dyDescent="0.2">
      <c r="A1480" s="40"/>
      <c r="B1480" s="3"/>
      <c r="C1480" s="50"/>
      <c r="D1480" s="51"/>
      <c r="E1480" s="9"/>
      <c r="F1480" s="5"/>
      <c r="G1480" s="5"/>
    </row>
    <row r="1481" spans="1:7" s="56" customFormat="1" x14ac:dyDescent="0.2">
      <c r="A1481" s="40"/>
      <c r="B1481" s="3"/>
      <c r="C1481" s="50"/>
      <c r="D1481" s="51"/>
      <c r="E1481" s="9"/>
      <c r="F1481" s="5"/>
      <c r="G1481" s="5"/>
    </row>
    <row r="1482" spans="1:7" s="56" customFormat="1" x14ac:dyDescent="0.2">
      <c r="A1482" s="40"/>
      <c r="B1482" s="3"/>
      <c r="C1482" s="50"/>
      <c r="D1482" s="51"/>
      <c r="E1482" s="9"/>
      <c r="F1482" s="5"/>
      <c r="G1482" s="5"/>
    </row>
    <row r="1483" spans="1:7" s="56" customFormat="1" x14ac:dyDescent="0.2">
      <c r="A1483" s="40"/>
      <c r="B1483" s="3"/>
      <c r="C1483" s="50"/>
      <c r="D1483" s="51"/>
      <c r="E1483" s="9"/>
      <c r="F1483" s="5"/>
      <c r="G1483" s="5"/>
    </row>
    <row r="1484" spans="1:7" s="56" customFormat="1" x14ac:dyDescent="0.2">
      <c r="A1484" s="40"/>
      <c r="B1484" s="3"/>
      <c r="C1484" s="50"/>
      <c r="D1484" s="51"/>
      <c r="E1484" s="9"/>
      <c r="F1484" s="5"/>
      <c r="G1484" s="5"/>
    </row>
    <row r="1485" spans="1:7" s="56" customFormat="1" x14ac:dyDescent="0.2">
      <c r="A1485" s="40"/>
      <c r="B1485" s="3"/>
      <c r="C1485" s="50"/>
      <c r="D1485" s="51"/>
      <c r="E1485" s="9"/>
      <c r="F1485" s="5"/>
      <c r="G1485" s="5"/>
    </row>
    <row r="1486" spans="1:7" s="56" customFormat="1" x14ac:dyDescent="0.2">
      <c r="A1486" s="40"/>
      <c r="B1486" s="3"/>
      <c r="C1486" s="50"/>
      <c r="D1486" s="51"/>
      <c r="E1486" s="9"/>
      <c r="F1486" s="5"/>
      <c r="G1486" s="5"/>
    </row>
    <row r="1487" spans="1:7" s="56" customFormat="1" x14ac:dyDescent="0.2">
      <c r="A1487" s="40"/>
      <c r="B1487" s="3"/>
      <c r="C1487" s="50"/>
      <c r="D1487" s="51"/>
      <c r="E1487" s="9"/>
      <c r="F1487" s="5"/>
      <c r="G1487" s="5"/>
    </row>
    <row r="1488" spans="1:7" s="56" customFormat="1" x14ac:dyDescent="0.2">
      <c r="A1488" s="40"/>
      <c r="B1488" s="3"/>
      <c r="C1488" s="50"/>
      <c r="D1488" s="51"/>
      <c r="E1488" s="9"/>
      <c r="F1488" s="5"/>
      <c r="G1488" s="5"/>
    </row>
    <row r="1489" spans="1:7" s="56" customFormat="1" x14ac:dyDescent="0.2">
      <c r="A1489" s="40"/>
      <c r="B1489" s="3"/>
      <c r="C1489" s="50"/>
      <c r="D1489" s="51"/>
      <c r="E1489" s="9"/>
      <c r="F1489" s="5"/>
      <c r="G1489" s="5"/>
    </row>
    <row r="1490" spans="1:7" s="56" customFormat="1" x14ac:dyDescent="0.2">
      <c r="A1490" s="40"/>
      <c r="B1490" s="3"/>
      <c r="C1490" s="50"/>
      <c r="D1490" s="51"/>
      <c r="E1490" s="9"/>
      <c r="F1490" s="5"/>
      <c r="G1490" s="5"/>
    </row>
    <row r="1491" spans="1:7" s="56" customFormat="1" x14ac:dyDescent="0.2">
      <c r="A1491" s="40"/>
      <c r="B1491" s="3"/>
      <c r="C1491" s="50"/>
      <c r="D1491" s="51"/>
      <c r="E1491" s="9"/>
      <c r="F1491" s="5"/>
      <c r="G1491" s="5"/>
    </row>
    <row r="1492" spans="1:7" s="56" customFormat="1" x14ac:dyDescent="0.2">
      <c r="A1492" s="40"/>
      <c r="B1492" s="3"/>
      <c r="C1492" s="50"/>
      <c r="D1492" s="51"/>
      <c r="E1492" s="9"/>
      <c r="F1492" s="5"/>
      <c r="G1492" s="5"/>
    </row>
    <row r="1493" spans="1:7" s="56" customFormat="1" x14ac:dyDescent="0.2">
      <c r="A1493" s="40"/>
      <c r="B1493" s="3"/>
      <c r="C1493" s="50"/>
      <c r="D1493" s="51"/>
      <c r="E1493" s="9"/>
      <c r="F1493" s="5"/>
      <c r="G1493" s="5"/>
    </row>
    <row r="1494" spans="1:7" s="56" customFormat="1" x14ac:dyDescent="0.2">
      <c r="A1494" s="40"/>
      <c r="B1494" s="3"/>
      <c r="C1494" s="50"/>
      <c r="D1494" s="51"/>
      <c r="E1494" s="9"/>
      <c r="F1494" s="5"/>
      <c r="G1494" s="5"/>
    </row>
    <row r="1495" spans="1:7" s="56" customFormat="1" x14ac:dyDescent="0.2">
      <c r="A1495" s="40"/>
      <c r="B1495" s="3"/>
      <c r="C1495" s="50"/>
      <c r="D1495" s="51"/>
      <c r="E1495" s="9"/>
      <c r="F1495" s="5"/>
      <c r="G1495" s="5"/>
    </row>
    <row r="1496" spans="1:7" s="56" customFormat="1" x14ac:dyDescent="0.2">
      <c r="A1496" s="40"/>
      <c r="B1496" s="3"/>
      <c r="C1496" s="50"/>
      <c r="D1496" s="51"/>
      <c r="E1496" s="9"/>
      <c r="F1496" s="5"/>
      <c r="G1496" s="5"/>
    </row>
    <row r="1497" spans="1:7" s="56" customFormat="1" x14ac:dyDescent="0.2">
      <c r="A1497" s="40"/>
      <c r="B1497" s="3"/>
      <c r="C1497" s="50"/>
      <c r="D1497" s="51"/>
      <c r="E1497" s="9"/>
      <c r="F1497" s="5"/>
      <c r="G1497" s="5"/>
    </row>
    <row r="1498" spans="1:7" s="56" customFormat="1" x14ac:dyDescent="0.2">
      <c r="A1498" s="40"/>
      <c r="B1498" s="3"/>
      <c r="C1498" s="50"/>
      <c r="D1498" s="51"/>
      <c r="E1498" s="9"/>
      <c r="F1498" s="5"/>
      <c r="G1498" s="5"/>
    </row>
    <row r="1499" spans="1:7" s="56" customFormat="1" x14ac:dyDescent="0.2">
      <c r="A1499" s="40"/>
      <c r="B1499" s="3"/>
      <c r="C1499" s="50"/>
      <c r="D1499" s="51"/>
      <c r="E1499" s="9"/>
      <c r="F1499" s="5"/>
      <c r="G1499" s="5"/>
    </row>
    <row r="1500" spans="1:7" s="56" customFormat="1" x14ac:dyDescent="0.2">
      <c r="A1500" s="40"/>
      <c r="B1500" s="3"/>
      <c r="C1500" s="50"/>
      <c r="D1500" s="51"/>
      <c r="E1500" s="9"/>
      <c r="F1500" s="5"/>
      <c r="G1500" s="5"/>
    </row>
    <row r="1501" spans="1:7" s="56" customFormat="1" x14ac:dyDescent="0.2">
      <c r="A1501" s="40"/>
      <c r="B1501" s="3"/>
      <c r="C1501" s="50"/>
      <c r="D1501" s="51"/>
      <c r="E1501" s="9"/>
      <c r="F1501" s="5"/>
      <c r="G1501" s="5"/>
    </row>
    <row r="1502" spans="1:7" s="56" customFormat="1" x14ac:dyDescent="0.2">
      <c r="A1502" s="40"/>
      <c r="B1502" s="3"/>
      <c r="C1502" s="50"/>
      <c r="D1502" s="51"/>
      <c r="E1502" s="9"/>
      <c r="F1502" s="5"/>
      <c r="G1502" s="5"/>
    </row>
    <row r="1503" spans="1:7" s="56" customFormat="1" x14ac:dyDescent="0.2">
      <c r="A1503" s="40"/>
      <c r="B1503" s="3"/>
      <c r="C1503" s="50"/>
      <c r="D1503" s="51"/>
      <c r="E1503" s="9"/>
      <c r="F1503" s="5"/>
      <c r="G1503" s="5"/>
    </row>
    <row r="1504" spans="1:7" s="56" customFormat="1" x14ac:dyDescent="0.2">
      <c r="A1504" s="40"/>
      <c r="B1504" s="3"/>
      <c r="C1504" s="50"/>
      <c r="D1504" s="51"/>
      <c r="E1504" s="9"/>
      <c r="F1504" s="5"/>
      <c r="G1504" s="5"/>
    </row>
    <row r="1505" spans="1:7" s="56" customFormat="1" x14ac:dyDescent="0.2">
      <c r="A1505" s="40"/>
      <c r="B1505" s="3"/>
      <c r="C1505" s="50"/>
      <c r="D1505" s="51"/>
      <c r="E1505" s="9"/>
      <c r="F1505" s="5"/>
      <c r="G1505" s="5"/>
    </row>
    <row r="1506" spans="1:7" s="56" customFormat="1" x14ac:dyDescent="0.2">
      <c r="A1506" s="40"/>
      <c r="B1506" s="3"/>
      <c r="C1506" s="50"/>
      <c r="D1506" s="51"/>
      <c r="E1506" s="9"/>
      <c r="F1506" s="5"/>
      <c r="G1506" s="5"/>
    </row>
    <row r="1507" spans="1:7" s="56" customFormat="1" x14ac:dyDescent="0.2">
      <c r="A1507" s="40"/>
      <c r="B1507" s="3"/>
      <c r="C1507" s="50"/>
      <c r="D1507" s="51"/>
      <c r="E1507" s="9"/>
      <c r="F1507" s="5"/>
      <c r="G1507" s="5"/>
    </row>
    <row r="1508" spans="1:7" s="56" customFormat="1" x14ac:dyDescent="0.2">
      <c r="A1508" s="40"/>
      <c r="B1508" s="3"/>
      <c r="C1508" s="50"/>
      <c r="D1508" s="51"/>
      <c r="E1508" s="9"/>
      <c r="F1508" s="5"/>
      <c r="G1508" s="5"/>
    </row>
    <row r="1509" spans="1:7" s="56" customFormat="1" x14ac:dyDescent="0.2">
      <c r="A1509" s="40"/>
      <c r="B1509" s="3"/>
      <c r="C1509" s="50"/>
      <c r="D1509" s="51"/>
      <c r="E1509" s="9"/>
      <c r="F1509" s="5"/>
      <c r="G1509" s="5"/>
    </row>
    <row r="1510" spans="1:7" s="56" customFormat="1" x14ac:dyDescent="0.2">
      <c r="A1510" s="40"/>
      <c r="B1510" s="3"/>
      <c r="C1510" s="50"/>
      <c r="D1510" s="51"/>
      <c r="E1510" s="9"/>
      <c r="F1510" s="5"/>
      <c r="G1510" s="5"/>
    </row>
    <row r="1511" spans="1:7" s="56" customFormat="1" x14ac:dyDescent="0.2">
      <c r="A1511" s="40"/>
      <c r="B1511" s="3"/>
      <c r="C1511" s="50"/>
      <c r="D1511" s="51"/>
      <c r="E1511" s="9"/>
      <c r="F1511" s="5"/>
      <c r="G1511" s="5"/>
    </row>
    <row r="1512" spans="1:7" s="56" customFormat="1" x14ac:dyDescent="0.2">
      <c r="A1512" s="40"/>
      <c r="B1512" s="3"/>
      <c r="C1512" s="50"/>
      <c r="D1512" s="51"/>
      <c r="E1512" s="9"/>
      <c r="F1512" s="5"/>
      <c r="G1512" s="5"/>
    </row>
    <row r="1513" spans="1:7" s="56" customFormat="1" x14ac:dyDescent="0.2">
      <c r="A1513" s="40"/>
      <c r="B1513" s="3"/>
      <c r="C1513" s="50"/>
      <c r="D1513" s="51"/>
      <c r="E1513" s="9"/>
      <c r="F1513" s="5"/>
      <c r="G1513" s="5"/>
    </row>
    <row r="1514" spans="1:7" s="56" customFormat="1" x14ac:dyDescent="0.2">
      <c r="A1514" s="40"/>
      <c r="B1514" s="3"/>
      <c r="C1514" s="50"/>
      <c r="D1514" s="51"/>
      <c r="E1514" s="9"/>
      <c r="F1514" s="5"/>
      <c r="G1514" s="5"/>
    </row>
    <row r="1515" spans="1:7" s="56" customFormat="1" x14ac:dyDescent="0.2">
      <c r="A1515" s="40"/>
      <c r="B1515" s="3"/>
      <c r="C1515" s="50"/>
      <c r="D1515" s="51"/>
      <c r="E1515" s="9"/>
      <c r="F1515" s="5"/>
      <c r="G1515" s="5"/>
    </row>
    <row r="1516" spans="1:7" s="56" customFormat="1" x14ac:dyDescent="0.2">
      <c r="A1516" s="40"/>
      <c r="B1516" s="3"/>
      <c r="C1516" s="50"/>
      <c r="D1516" s="51"/>
      <c r="E1516" s="9"/>
      <c r="F1516" s="5"/>
      <c r="G1516" s="5"/>
    </row>
    <row r="1517" spans="1:7" s="56" customFormat="1" x14ac:dyDescent="0.2">
      <c r="A1517" s="40"/>
      <c r="B1517" s="3"/>
      <c r="C1517" s="50"/>
      <c r="D1517" s="51"/>
      <c r="E1517" s="9"/>
      <c r="F1517" s="5"/>
      <c r="G1517" s="5"/>
    </row>
    <row r="1518" spans="1:7" s="56" customFormat="1" x14ac:dyDescent="0.2">
      <c r="A1518" s="40"/>
      <c r="B1518" s="3"/>
      <c r="C1518" s="50"/>
      <c r="D1518" s="51"/>
      <c r="E1518" s="9"/>
      <c r="F1518" s="5"/>
      <c r="G1518" s="5"/>
    </row>
    <row r="1519" spans="1:7" s="56" customFormat="1" x14ac:dyDescent="0.2">
      <c r="A1519" s="40"/>
      <c r="B1519" s="3"/>
      <c r="C1519" s="50"/>
      <c r="D1519" s="51"/>
      <c r="E1519" s="9"/>
      <c r="F1519" s="5"/>
      <c r="G1519" s="5"/>
    </row>
    <row r="1520" spans="1:7" s="56" customFormat="1" x14ac:dyDescent="0.2">
      <c r="A1520" s="40"/>
      <c r="B1520" s="3"/>
      <c r="C1520" s="50"/>
      <c r="D1520" s="51"/>
      <c r="E1520" s="9"/>
      <c r="F1520" s="5"/>
      <c r="G1520" s="5"/>
    </row>
    <row r="1521" spans="1:7" s="56" customFormat="1" x14ac:dyDescent="0.2">
      <c r="A1521" s="40"/>
      <c r="B1521" s="3"/>
      <c r="C1521" s="50"/>
      <c r="D1521" s="51"/>
      <c r="E1521" s="9"/>
      <c r="F1521" s="5"/>
      <c r="G1521" s="5"/>
    </row>
    <row r="1522" spans="1:7" s="56" customFormat="1" x14ac:dyDescent="0.2">
      <c r="A1522" s="40"/>
      <c r="B1522" s="3"/>
      <c r="C1522" s="50"/>
      <c r="D1522" s="51"/>
      <c r="E1522" s="9"/>
      <c r="F1522" s="5"/>
      <c r="G1522" s="5"/>
    </row>
    <row r="1523" spans="1:7" s="56" customFormat="1" x14ac:dyDescent="0.2">
      <c r="A1523" s="40"/>
      <c r="B1523" s="3"/>
      <c r="C1523" s="50"/>
      <c r="D1523" s="51"/>
      <c r="E1523" s="9"/>
      <c r="F1523" s="5"/>
      <c r="G1523" s="5"/>
    </row>
    <row r="1524" spans="1:7" s="56" customFormat="1" x14ac:dyDescent="0.2">
      <c r="A1524" s="40"/>
      <c r="B1524" s="3"/>
      <c r="C1524" s="50"/>
      <c r="D1524" s="51"/>
      <c r="E1524" s="9"/>
      <c r="F1524" s="5"/>
      <c r="G1524" s="5"/>
    </row>
    <row r="1525" spans="1:7" s="56" customFormat="1" x14ac:dyDescent="0.2">
      <c r="A1525" s="40"/>
      <c r="B1525" s="3"/>
      <c r="C1525" s="50"/>
      <c r="D1525" s="51"/>
      <c r="E1525" s="9"/>
      <c r="F1525" s="5"/>
      <c r="G1525" s="5"/>
    </row>
    <row r="1526" spans="1:7" s="56" customFormat="1" x14ac:dyDescent="0.2">
      <c r="A1526" s="40"/>
      <c r="B1526" s="3"/>
      <c r="C1526" s="50"/>
      <c r="D1526" s="51"/>
      <c r="E1526" s="9"/>
      <c r="F1526" s="5"/>
      <c r="G1526" s="5"/>
    </row>
    <row r="1527" spans="1:7" s="56" customFormat="1" x14ac:dyDescent="0.2">
      <c r="A1527" s="40"/>
      <c r="B1527" s="3"/>
      <c r="C1527" s="50"/>
      <c r="D1527" s="51"/>
      <c r="E1527" s="9"/>
      <c r="F1527" s="5"/>
      <c r="G1527" s="5"/>
    </row>
    <row r="1528" spans="1:7" s="56" customFormat="1" x14ac:dyDescent="0.2">
      <c r="A1528" s="40"/>
      <c r="B1528" s="3"/>
      <c r="C1528" s="50"/>
      <c r="D1528" s="51"/>
      <c r="E1528" s="9"/>
      <c r="F1528" s="5"/>
      <c r="G1528" s="5"/>
    </row>
    <row r="1529" spans="1:7" s="56" customFormat="1" x14ac:dyDescent="0.2">
      <c r="A1529" s="40"/>
      <c r="B1529" s="3"/>
      <c r="C1529" s="50"/>
      <c r="D1529" s="51"/>
      <c r="E1529" s="9"/>
      <c r="F1529" s="5"/>
      <c r="G1529" s="5"/>
    </row>
    <row r="1530" spans="1:7" s="56" customFormat="1" x14ac:dyDescent="0.2">
      <c r="A1530" s="40"/>
      <c r="B1530" s="3"/>
      <c r="C1530" s="50"/>
      <c r="D1530" s="51"/>
      <c r="E1530" s="9"/>
      <c r="F1530" s="5"/>
      <c r="G1530" s="5"/>
    </row>
    <row r="1531" spans="1:7" s="56" customFormat="1" x14ac:dyDescent="0.2">
      <c r="A1531" s="40"/>
      <c r="B1531" s="3"/>
      <c r="C1531" s="50"/>
      <c r="D1531" s="51"/>
      <c r="E1531" s="9"/>
      <c r="F1531" s="5"/>
      <c r="G1531" s="5"/>
    </row>
    <row r="1532" spans="1:7" s="56" customFormat="1" x14ac:dyDescent="0.2">
      <c r="A1532" s="40"/>
      <c r="B1532" s="3"/>
      <c r="C1532" s="50"/>
      <c r="D1532" s="51"/>
      <c r="E1532" s="9"/>
      <c r="F1532" s="5"/>
      <c r="G1532" s="5"/>
    </row>
    <row r="1533" spans="1:7" s="56" customFormat="1" x14ac:dyDescent="0.2">
      <c r="A1533" s="40"/>
      <c r="B1533" s="3"/>
      <c r="C1533" s="50"/>
      <c r="D1533" s="51"/>
      <c r="E1533" s="9"/>
      <c r="F1533" s="5"/>
      <c r="G1533" s="5"/>
    </row>
    <row r="1534" spans="1:7" s="56" customFormat="1" x14ac:dyDescent="0.2">
      <c r="A1534" s="40"/>
      <c r="B1534" s="3"/>
      <c r="C1534" s="50"/>
      <c r="D1534" s="51"/>
      <c r="E1534" s="9"/>
      <c r="F1534" s="5"/>
      <c r="G1534" s="5"/>
    </row>
    <row r="1535" spans="1:7" s="56" customFormat="1" x14ac:dyDescent="0.2">
      <c r="A1535" s="40"/>
      <c r="B1535" s="3"/>
      <c r="C1535" s="50"/>
      <c r="D1535" s="51"/>
      <c r="E1535" s="9"/>
      <c r="F1535" s="5"/>
      <c r="G1535" s="5"/>
    </row>
    <row r="1536" spans="1:7" s="56" customFormat="1" x14ac:dyDescent="0.2">
      <c r="A1536" s="40"/>
      <c r="B1536" s="3"/>
      <c r="C1536" s="50"/>
      <c r="D1536" s="51"/>
      <c r="E1536" s="9"/>
      <c r="F1536" s="5"/>
      <c r="G1536" s="5"/>
    </row>
    <row r="1537" spans="1:7" s="56" customFormat="1" x14ac:dyDescent="0.2">
      <c r="A1537" s="40"/>
      <c r="B1537" s="3"/>
      <c r="C1537" s="50"/>
      <c r="D1537" s="51"/>
      <c r="E1537" s="9"/>
      <c r="F1537" s="5"/>
      <c r="G1537" s="5"/>
    </row>
    <row r="1538" spans="1:7" s="56" customFormat="1" x14ac:dyDescent="0.2">
      <c r="A1538" s="40"/>
      <c r="B1538" s="3"/>
      <c r="C1538" s="50"/>
      <c r="D1538" s="51"/>
      <c r="E1538" s="9"/>
      <c r="F1538" s="5"/>
      <c r="G1538" s="5"/>
    </row>
    <row r="1539" spans="1:7" s="56" customFormat="1" x14ac:dyDescent="0.2">
      <c r="A1539" s="40"/>
      <c r="B1539" s="3"/>
      <c r="C1539" s="50"/>
      <c r="D1539" s="51"/>
      <c r="E1539" s="9"/>
      <c r="F1539" s="5"/>
      <c r="G1539" s="5"/>
    </row>
    <row r="1540" spans="1:7" s="56" customFormat="1" x14ac:dyDescent="0.2">
      <c r="A1540" s="40"/>
      <c r="B1540" s="3"/>
      <c r="C1540" s="50"/>
      <c r="D1540" s="51"/>
      <c r="E1540" s="9"/>
      <c r="F1540" s="5"/>
      <c r="G1540" s="5"/>
    </row>
    <row r="1541" spans="1:7" s="56" customFormat="1" x14ac:dyDescent="0.2">
      <c r="A1541" s="40"/>
      <c r="B1541" s="3"/>
      <c r="C1541" s="50"/>
      <c r="D1541" s="51"/>
      <c r="E1541" s="9"/>
      <c r="F1541" s="5"/>
      <c r="G1541" s="5"/>
    </row>
    <row r="1542" spans="1:7" s="56" customFormat="1" x14ac:dyDescent="0.2">
      <c r="A1542" s="40"/>
      <c r="B1542" s="3"/>
      <c r="C1542" s="50"/>
      <c r="D1542" s="51"/>
      <c r="E1542" s="9"/>
      <c r="F1542" s="5"/>
      <c r="G1542" s="5"/>
    </row>
    <row r="1543" spans="1:7" s="56" customFormat="1" x14ac:dyDescent="0.2">
      <c r="A1543" s="40"/>
      <c r="B1543" s="3"/>
      <c r="C1543" s="50"/>
      <c r="D1543" s="51"/>
      <c r="E1543" s="9"/>
      <c r="F1543" s="5"/>
      <c r="G1543" s="5"/>
    </row>
    <row r="1544" spans="1:7" s="56" customFormat="1" x14ac:dyDescent="0.2">
      <c r="A1544" s="40"/>
      <c r="B1544" s="3"/>
      <c r="C1544" s="50"/>
      <c r="D1544" s="51"/>
      <c r="E1544" s="9"/>
      <c r="F1544" s="5"/>
      <c r="G1544" s="5"/>
    </row>
    <row r="1545" spans="1:7" s="56" customFormat="1" x14ac:dyDescent="0.2">
      <c r="A1545" s="40"/>
      <c r="B1545" s="3"/>
      <c r="C1545" s="50"/>
      <c r="D1545" s="51"/>
      <c r="E1545" s="9"/>
      <c r="F1545" s="5"/>
      <c r="G1545" s="5"/>
    </row>
    <row r="1546" spans="1:7" s="56" customFormat="1" x14ac:dyDescent="0.2">
      <c r="A1546" s="40"/>
      <c r="B1546" s="3"/>
      <c r="C1546" s="50"/>
      <c r="D1546" s="51"/>
      <c r="E1546" s="9"/>
      <c r="F1546" s="5"/>
      <c r="G1546" s="5"/>
    </row>
    <row r="1547" spans="1:7" s="56" customFormat="1" x14ac:dyDescent="0.2">
      <c r="A1547" s="40"/>
      <c r="B1547" s="3"/>
      <c r="C1547" s="50"/>
      <c r="D1547" s="51"/>
      <c r="E1547" s="9"/>
      <c r="F1547" s="5"/>
      <c r="G1547" s="5"/>
    </row>
    <row r="1548" spans="1:7" s="56" customFormat="1" x14ac:dyDescent="0.2">
      <c r="A1548" s="40"/>
      <c r="B1548" s="3"/>
      <c r="C1548" s="50"/>
      <c r="D1548" s="51"/>
      <c r="E1548" s="9"/>
      <c r="F1548" s="5"/>
      <c r="G1548" s="5"/>
    </row>
    <row r="1549" spans="1:7" s="56" customFormat="1" x14ac:dyDescent="0.2">
      <c r="A1549" s="40"/>
      <c r="B1549" s="3"/>
      <c r="C1549" s="50"/>
      <c r="D1549" s="51"/>
      <c r="E1549" s="9"/>
      <c r="F1549" s="5"/>
      <c r="G1549" s="5"/>
    </row>
    <row r="1550" spans="1:7" s="56" customFormat="1" x14ac:dyDescent="0.2">
      <c r="A1550" s="40"/>
      <c r="B1550" s="3"/>
      <c r="C1550" s="50"/>
      <c r="D1550" s="51"/>
      <c r="E1550" s="9"/>
      <c r="F1550" s="5"/>
      <c r="G1550" s="5"/>
    </row>
    <row r="1551" spans="1:7" s="56" customFormat="1" x14ac:dyDescent="0.2">
      <c r="A1551" s="40"/>
      <c r="B1551" s="3"/>
      <c r="C1551" s="50"/>
      <c r="D1551" s="51"/>
      <c r="E1551" s="9"/>
      <c r="F1551" s="5"/>
      <c r="G1551" s="5"/>
    </row>
    <row r="1552" spans="1:7" s="56" customFormat="1" x14ac:dyDescent="0.2">
      <c r="A1552" s="40"/>
      <c r="B1552" s="3"/>
      <c r="C1552" s="50"/>
      <c r="D1552" s="51"/>
      <c r="E1552" s="9"/>
      <c r="F1552" s="5"/>
      <c r="G1552" s="5"/>
    </row>
    <row r="1553" spans="1:7" s="56" customFormat="1" x14ac:dyDescent="0.2">
      <c r="A1553" s="40"/>
      <c r="B1553" s="3"/>
      <c r="C1553" s="50"/>
      <c r="D1553" s="51"/>
      <c r="E1553" s="9"/>
      <c r="F1553" s="5"/>
      <c r="G1553" s="5"/>
    </row>
    <row r="1554" spans="1:7" s="56" customFormat="1" x14ac:dyDescent="0.2">
      <c r="A1554" s="40"/>
      <c r="B1554" s="3"/>
      <c r="C1554" s="50"/>
      <c r="D1554" s="51"/>
      <c r="E1554" s="9"/>
      <c r="F1554" s="5"/>
      <c r="G1554" s="5"/>
    </row>
    <row r="1555" spans="1:7" s="56" customFormat="1" x14ac:dyDescent="0.2">
      <c r="A1555" s="40"/>
      <c r="B1555" s="3"/>
      <c r="C1555" s="50"/>
      <c r="D1555" s="51"/>
      <c r="E1555" s="9"/>
      <c r="F1555" s="5"/>
      <c r="G1555" s="5"/>
    </row>
    <row r="1556" spans="1:7" s="56" customFormat="1" x14ac:dyDescent="0.2">
      <c r="A1556" s="40"/>
      <c r="B1556" s="3"/>
      <c r="C1556" s="50"/>
      <c r="D1556" s="51"/>
      <c r="E1556" s="9"/>
      <c r="F1556" s="5"/>
      <c r="G1556" s="5"/>
    </row>
    <row r="1557" spans="1:7" s="56" customFormat="1" x14ac:dyDescent="0.2">
      <c r="A1557" s="40"/>
      <c r="B1557" s="3"/>
      <c r="C1557" s="50"/>
      <c r="D1557" s="51"/>
      <c r="E1557" s="9"/>
      <c r="F1557" s="5"/>
      <c r="G1557" s="5"/>
    </row>
    <row r="1558" spans="1:7" s="56" customFormat="1" x14ac:dyDescent="0.2">
      <c r="A1558" s="40"/>
      <c r="B1558" s="3"/>
      <c r="C1558" s="50"/>
      <c r="D1558" s="51"/>
      <c r="E1558" s="9"/>
      <c r="F1558" s="5"/>
      <c r="G1558" s="5"/>
    </row>
    <row r="1559" spans="1:7" s="56" customFormat="1" x14ac:dyDescent="0.2">
      <c r="A1559" s="40"/>
      <c r="B1559" s="3"/>
      <c r="C1559" s="50"/>
      <c r="D1559" s="51"/>
      <c r="E1559" s="9"/>
      <c r="F1559" s="5"/>
      <c r="G1559" s="5"/>
    </row>
    <row r="1560" spans="1:7" s="56" customFormat="1" x14ac:dyDescent="0.2">
      <c r="A1560" s="40"/>
      <c r="B1560" s="3"/>
      <c r="C1560" s="50"/>
      <c r="D1560" s="51"/>
      <c r="E1560" s="9"/>
      <c r="F1560" s="5"/>
      <c r="G1560" s="5"/>
    </row>
    <row r="1561" spans="1:7" s="56" customFormat="1" x14ac:dyDescent="0.2">
      <c r="A1561" s="40"/>
      <c r="B1561" s="3"/>
      <c r="C1561" s="50"/>
      <c r="D1561" s="51"/>
      <c r="E1561" s="9"/>
      <c r="F1561" s="5"/>
      <c r="G1561" s="5"/>
    </row>
    <row r="1562" spans="1:7" s="56" customFormat="1" x14ac:dyDescent="0.2">
      <c r="A1562" s="40"/>
      <c r="B1562" s="3"/>
      <c r="C1562" s="50"/>
      <c r="D1562" s="51"/>
      <c r="E1562" s="9"/>
      <c r="F1562" s="5"/>
      <c r="G1562" s="5"/>
    </row>
    <row r="1563" spans="1:7" s="56" customFormat="1" x14ac:dyDescent="0.2">
      <c r="A1563" s="40"/>
      <c r="B1563" s="3"/>
      <c r="C1563" s="50"/>
      <c r="D1563" s="51"/>
      <c r="E1563" s="9"/>
      <c r="F1563" s="5"/>
      <c r="G1563" s="5"/>
    </row>
    <row r="1564" spans="1:7" s="56" customFormat="1" x14ac:dyDescent="0.2">
      <c r="A1564" s="40"/>
      <c r="B1564" s="3"/>
      <c r="C1564" s="50"/>
      <c r="D1564" s="51"/>
      <c r="E1564" s="9"/>
      <c r="F1564" s="5"/>
      <c r="G1564" s="5"/>
    </row>
    <row r="1565" spans="1:7" s="56" customFormat="1" x14ac:dyDescent="0.2">
      <c r="A1565" s="40"/>
      <c r="B1565" s="3"/>
      <c r="C1565" s="50"/>
      <c r="D1565" s="51"/>
      <c r="E1565" s="9"/>
      <c r="F1565" s="5"/>
      <c r="G1565" s="5"/>
    </row>
    <row r="1566" spans="1:7" s="56" customFormat="1" x14ac:dyDescent="0.2">
      <c r="A1566" s="40"/>
      <c r="B1566" s="3"/>
      <c r="C1566" s="50"/>
      <c r="D1566" s="51"/>
      <c r="E1566" s="9"/>
      <c r="F1566" s="5"/>
      <c r="G1566" s="5"/>
    </row>
    <row r="1567" spans="1:7" s="56" customFormat="1" x14ac:dyDescent="0.2">
      <c r="A1567" s="40"/>
      <c r="B1567" s="3"/>
      <c r="C1567" s="50"/>
      <c r="D1567" s="51"/>
      <c r="E1567" s="9"/>
      <c r="F1567" s="5"/>
      <c r="G1567" s="5"/>
    </row>
    <row r="1568" spans="1:7" s="56" customFormat="1" x14ac:dyDescent="0.2">
      <c r="A1568" s="40"/>
      <c r="B1568" s="3"/>
      <c r="C1568" s="50"/>
      <c r="D1568" s="51"/>
      <c r="E1568" s="9"/>
      <c r="F1568" s="5"/>
      <c r="G1568" s="5"/>
    </row>
    <row r="1569" spans="1:7" s="56" customFormat="1" x14ac:dyDescent="0.2">
      <c r="A1569" s="40"/>
      <c r="B1569" s="3"/>
      <c r="C1569" s="50"/>
      <c r="D1569" s="51"/>
      <c r="E1569" s="9"/>
      <c r="F1569" s="5"/>
      <c r="G1569" s="5"/>
    </row>
    <row r="1570" spans="1:7" s="56" customFormat="1" x14ac:dyDescent="0.2">
      <c r="A1570" s="40"/>
      <c r="B1570" s="3"/>
      <c r="C1570" s="50"/>
      <c r="D1570" s="51"/>
      <c r="E1570" s="9"/>
      <c r="F1570" s="5"/>
      <c r="G1570" s="5"/>
    </row>
    <row r="1571" spans="1:7" s="56" customFormat="1" x14ac:dyDescent="0.2">
      <c r="A1571" s="40"/>
      <c r="B1571" s="3"/>
      <c r="C1571" s="50"/>
      <c r="D1571" s="51"/>
      <c r="E1571" s="9"/>
      <c r="F1571" s="5"/>
      <c r="G1571" s="5"/>
    </row>
    <row r="1572" spans="1:7" s="56" customFormat="1" x14ac:dyDescent="0.2">
      <c r="A1572" s="40"/>
      <c r="B1572" s="3"/>
      <c r="C1572" s="50"/>
      <c r="D1572" s="51"/>
      <c r="E1572" s="9"/>
      <c r="F1572" s="5"/>
      <c r="G1572" s="5"/>
    </row>
    <row r="1573" spans="1:7" s="56" customFormat="1" x14ac:dyDescent="0.2">
      <c r="A1573" s="40"/>
      <c r="B1573" s="3"/>
      <c r="C1573" s="50"/>
      <c r="D1573" s="51"/>
      <c r="E1573" s="9"/>
      <c r="F1573" s="5"/>
      <c r="G1573" s="5"/>
    </row>
    <row r="1574" spans="1:7" s="56" customFormat="1" x14ac:dyDescent="0.2">
      <c r="A1574" s="40"/>
      <c r="B1574" s="3"/>
      <c r="C1574" s="50"/>
      <c r="D1574" s="51"/>
      <c r="E1574" s="9"/>
      <c r="F1574" s="5"/>
      <c r="G1574" s="5"/>
    </row>
    <row r="1575" spans="1:7" s="56" customFormat="1" x14ac:dyDescent="0.2">
      <c r="A1575" s="40"/>
      <c r="B1575" s="3"/>
      <c r="C1575" s="50"/>
      <c r="D1575" s="51"/>
      <c r="E1575" s="9"/>
      <c r="F1575" s="5"/>
      <c r="G1575" s="5"/>
    </row>
    <row r="1576" spans="1:7" s="56" customFormat="1" x14ac:dyDescent="0.2">
      <c r="A1576" s="40"/>
      <c r="B1576" s="3"/>
      <c r="C1576" s="50"/>
      <c r="D1576" s="51"/>
      <c r="E1576" s="9"/>
      <c r="F1576" s="5"/>
      <c r="G1576" s="5"/>
    </row>
    <row r="1577" spans="1:7" s="56" customFormat="1" x14ac:dyDescent="0.2">
      <c r="A1577" s="40"/>
      <c r="B1577" s="3"/>
      <c r="C1577" s="50"/>
      <c r="D1577" s="51"/>
      <c r="E1577" s="9"/>
      <c r="F1577" s="5"/>
      <c r="G1577" s="5"/>
    </row>
    <row r="1578" spans="1:7" s="56" customFormat="1" x14ac:dyDescent="0.2">
      <c r="A1578" s="40"/>
      <c r="B1578" s="3"/>
      <c r="C1578" s="50"/>
      <c r="D1578" s="51"/>
      <c r="E1578" s="9"/>
      <c r="F1578" s="5"/>
      <c r="G1578" s="5"/>
    </row>
    <row r="1579" spans="1:7" s="56" customFormat="1" x14ac:dyDescent="0.2">
      <c r="A1579" s="40"/>
      <c r="B1579" s="3"/>
      <c r="C1579" s="50"/>
      <c r="D1579" s="51"/>
      <c r="E1579" s="9"/>
      <c r="F1579" s="5"/>
      <c r="G1579" s="5"/>
    </row>
    <row r="1580" spans="1:7" s="56" customFormat="1" x14ac:dyDescent="0.2">
      <c r="A1580" s="40"/>
      <c r="B1580" s="3"/>
      <c r="C1580" s="50"/>
      <c r="D1580" s="51"/>
      <c r="E1580" s="9"/>
      <c r="F1580" s="5"/>
      <c r="G1580" s="5"/>
    </row>
    <row r="1581" spans="1:7" s="56" customFormat="1" x14ac:dyDescent="0.2">
      <c r="A1581" s="40"/>
      <c r="B1581" s="3"/>
      <c r="C1581" s="50"/>
      <c r="D1581" s="51"/>
      <c r="E1581" s="9"/>
      <c r="F1581" s="5"/>
      <c r="G1581" s="5"/>
    </row>
    <row r="1582" spans="1:7" s="56" customFormat="1" x14ac:dyDescent="0.2">
      <c r="A1582" s="40"/>
      <c r="B1582" s="3"/>
      <c r="C1582" s="50"/>
      <c r="D1582" s="51"/>
      <c r="E1582" s="9"/>
      <c r="F1582" s="5"/>
      <c r="G1582" s="5"/>
    </row>
    <row r="1583" spans="1:7" s="56" customFormat="1" x14ac:dyDescent="0.2">
      <c r="A1583" s="40"/>
      <c r="B1583" s="3"/>
      <c r="C1583" s="50"/>
      <c r="D1583" s="51"/>
      <c r="E1583" s="9"/>
      <c r="F1583" s="5"/>
      <c r="G1583" s="5"/>
    </row>
    <row r="1584" spans="1:7" s="56" customFormat="1" x14ac:dyDescent="0.2">
      <c r="A1584" s="40"/>
      <c r="B1584" s="3"/>
      <c r="C1584" s="50"/>
      <c r="D1584" s="51"/>
      <c r="E1584" s="9"/>
      <c r="F1584" s="5"/>
      <c r="G1584" s="5"/>
    </row>
    <row r="1585" spans="1:7" s="56" customFormat="1" x14ac:dyDescent="0.2">
      <c r="A1585" s="40"/>
      <c r="B1585" s="3"/>
      <c r="C1585" s="50"/>
      <c r="D1585" s="51"/>
      <c r="E1585" s="9"/>
      <c r="F1585" s="5"/>
      <c r="G1585" s="5"/>
    </row>
    <row r="1586" spans="1:7" s="56" customFormat="1" x14ac:dyDescent="0.2">
      <c r="A1586" s="40"/>
      <c r="B1586" s="3"/>
      <c r="C1586" s="50"/>
      <c r="D1586" s="51"/>
      <c r="E1586" s="9"/>
      <c r="F1586" s="5"/>
      <c r="G1586" s="5"/>
    </row>
    <row r="1587" spans="1:7" s="56" customFormat="1" x14ac:dyDescent="0.2">
      <c r="A1587" s="40"/>
      <c r="B1587" s="3"/>
      <c r="C1587" s="50"/>
      <c r="D1587" s="51"/>
      <c r="E1587" s="9"/>
      <c r="F1587" s="5"/>
      <c r="G1587" s="5"/>
    </row>
    <row r="1588" spans="1:7" s="56" customFormat="1" x14ac:dyDescent="0.2">
      <c r="A1588" s="40"/>
      <c r="B1588" s="3"/>
      <c r="C1588" s="50"/>
      <c r="D1588" s="51"/>
      <c r="E1588" s="9"/>
      <c r="F1588" s="5"/>
      <c r="G1588" s="5"/>
    </row>
    <row r="1589" spans="1:7" s="56" customFormat="1" x14ac:dyDescent="0.2">
      <c r="A1589" s="40"/>
      <c r="B1589" s="3"/>
      <c r="C1589" s="50"/>
      <c r="D1589" s="51"/>
      <c r="E1589" s="9"/>
      <c r="F1589" s="5"/>
      <c r="G1589" s="5"/>
    </row>
    <row r="1590" spans="1:7" s="56" customFormat="1" x14ac:dyDescent="0.2">
      <c r="A1590" s="40"/>
      <c r="B1590" s="3"/>
      <c r="C1590" s="50"/>
      <c r="D1590" s="51"/>
      <c r="E1590" s="9"/>
      <c r="F1590" s="5"/>
      <c r="G1590" s="5"/>
    </row>
    <row r="1591" spans="1:7" s="56" customFormat="1" x14ac:dyDescent="0.2">
      <c r="A1591" s="40"/>
      <c r="B1591" s="3"/>
      <c r="C1591" s="50"/>
      <c r="D1591" s="51"/>
      <c r="E1591" s="9"/>
      <c r="F1591" s="5"/>
      <c r="G1591" s="5"/>
    </row>
    <row r="1592" spans="1:7" s="56" customFormat="1" x14ac:dyDescent="0.2">
      <c r="A1592" s="40"/>
      <c r="B1592" s="3"/>
      <c r="C1592" s="50"/>
      <c r="D1592" s="51"/>
      <c r="E1592" s="9"/>
      <c r="F1592" s="5"/>
      <c r="G1592" s="5"/>
    </row>
    <row r="1593" spans="1:7" s="56" customFormat="1" x14ac:dyDescent="0.2">
      <c r="A1593" s="40"/>
      <c r="B1593" s="3"/>
      <c r="C1593" s="50"/>
      <c r="D1593" s="51"/>
      <c r="E1593" s="9"/>
      <c r="F1593" s="5"/>
      <c r="G1593" s="5"/>
    </row>
    <row r="1594" spans="1:7" s="56" customFormat="1" x14ac:dyDescent="0.2">
      <c r="A1594" s="40"/>
      <c r="B1594" s="3"/>
      <c r="C1594" s="50"/>
      <c r="D1594" s="51"/>
      <c r="E1594" s="9"/>
      <c r="F1594" s="5"/>
      <c r="G1594" s="5"/>
    </row>
    <row r="1595" spans="1:7" s="56" customFormat="1" x14ac:dyDescent="0.2">
      <c r="A1595" s="40"/>
      <c r="B1595" s="3"/>
      <c r="C1595" s="50"/>
      <c r="D1595" s="51"/>
      <c r="E1595" s="9"/>
      <c r="F1595" s="5"/>
      <c r="G1595" s="5"/>
    </row>
    <row r="1596" spans="1:7" s="56" customFormat="1" x14ac:dyDescent="0.2">
      <c r="A1596" s="40"/>
      <c r="B1596" s="3"/>
      <c r="C1596" s="50"/>
      <c r="D1596" s="51"/>
      <c r="E1596" s="9"/>
      <c r="F1596" s="5"/>
      <c r="G1596" s="5"/>
    </row>
    <row r="1597" spans="1:7" s="56" customFormat="1" x14ac:dyDescent="0.2">
      <c r="A1597" s="40"/>
      <c r="B1597" s="3"/>
      <c r="C1597" s="50"/>
      <c r="D1597" s="51"/>
      <c r="E1597" s="9"/>
      <c r="F1597" s="5"/>
      <c r="G1597" s="5"/>
    </row>
    <row r="1598" spans="1:7" s="56" customFormat="1" x14ac:dyDescent="0.2">
      <c r="A1598" s="40"/>
      <c r="B1598" s="3"/>
      <c r="C1598" s="50"/>
      <c r="D1598" s="51"/>
      <c r="E1598" s="9"/>
      <c r="F1598" s="5"/>
      <c r="G1598" s="5"/>
    </row>
    <row r="1599" spans="1:7" s="56" customFormat="1" x14ac:dyDescent="0.2">
      <c r="A1599" s="40"/>
      <c r="B1599" s="3"/>
      <c r="C1599" s="50"/>
      <c r="D1599" s="51"/>
      <c r="E1599" s="9"/>
      <c r="F1599" s="5"/>
      <c r="G1599" s="5"/>
    </row>
    <row r="1600" spans="1:7" s="56" customFormat="1" x14ac:dyDescent="0.2">
      <c r="A1600" s="40"/>
      <c r="B1600" s="3"/>
      <c r="C1600" s="50"/>
      <c r="D1600" s="51"/>
      <c r="E1600" s="9"/>
      <c r="F1600" s="5"/>
      <c r="G1600" s="5"/>
    </row>
    <row r="1601" spans="1:7" s="56" customFormat="1" x14ac:dyDescent="0.2">
      <c r="A1601" s="40"/>
      <c r="B1601" s="3"/>
      <c r="C1601" s="50"/>
      <c r="D1601" s="51"/>
      <c r="E1601" s="9"/>
      <c r="F1601" s="5"/>
      <c r="G1601" s="5"/>
    </row>
    <row r="1602" spans="1:7" s="56" customFormat="1" x14ac:dyDescent="0.2">
      <c r="A1602" s="40"/>
      <c r="B1602" s="3"/>
      <c r="C1602" s="50"/>
      <c r="D1602" s="51"/>
      <c r="E1602" s="9"/>
      <c r="F1602" s="5"/>
      <c r="G1602" s="5"/>
    </row>
    <row r="1603" spans="1:7" s="56" customFormat="1" x14ac:dyDescent="0.2">
      <c r="A1603" s="40"/>
      <c r="B1603" s="3"/>
      <c r="C1603" s="50"/>
      <c r="D1603" s="51"/>
      <c r="E1603" s="9"/>
      <c r="F1603" s="5"/>
      <c r="G1603" s="5"/>
    </row>
    <row r="1604" spans="1:7" s="56" customFormat="1" x14ac:dyDescent="0.2">
      <c r="A1604" s="40"/>
      <c r="B1604" s="3"/>
      <c r="C1604" s="50"/>
      <c r="D1604" s="51"/>
      <c r="E1604" s="9"/>
      <c r="F1604" s="5"/>
      <c r="G1604" s="5"/>
    </row>
    <row r="1605" spans="1:7" s="56" customFormat="1" x14ac:dyDescent="0.2">
      <c r="A1605" s="40"/>
      <c r="B1605" s="3"/>
      <c r="C1605" s="50"/>
      <c r="D1605" s="51"/>
      <c r="E1605" s="9"/>
      <c r="F1605" s="5"/>
      <c r="G1605" s="5"/>
    </row>
    <row r="1606" spans="1:7" s="56" customFormat="1" x14ac:dyDescent="0.2">
      <c r="A1606" s="40"/>
      <c r="B1606" s="3"/>
      <c r="C1606" s="50"/>
      <c r="D1606" s="51"/>
      <c r="E1606" s="9"/>
      <c r="F1606" s="5"/>
      <c r="G1606" s="5"/>
    </row>
    <row r="1607" spans="1:7" s="56" customFormat="1" x14ac:dyDescent="0.2">
      <c r="A1607" s="40"/>
      <c r="B1607" s="3"/>
      <c r="C1607" s="50"/>
      <c r="D1607" s="51"/>
      <c r="E1607" s="9"/>
      <c r="F1607" s="5"/>
      <c r="G1607" s="5"/>
    </row>
    <row r="1608" spans="1:7" s="56" customFormat="1" x14ac:dyDescent="0.2">
      <c r="A1608" s="40"/>
      <c r="B1608" s="3"/>
      <c r="C1608" s="50"/>
      <c r="D1608" s="51"/>
      <c r="E1608" s="9"/>
      <c r="F1608" s="5"/>
      <c r="G1608" s="5"/>
    </row>
    <row r="1609" spans="1:7" s="56" customFormat="1" x14ac:dyDescent="0.2">
      <c r="A1609" s="40"/>
      <c r="B1609" s="3"/>
      <c r="C1609" s="50"/>
      <c r="D1609" s="51"/>
      <c r="E1609" s="9"/>
      <c r="F1609" s="5"/>
      <c r="G1609" s="5"/>
    </row>
    <row r="1610" spans="1:7" s="56" customFormat="1" x14ac:dyDescent="0.2">
      <c r="A1610" s="40"/>
      <c r="B1610" s="3"/>
      <c r="C1610" s="50"/>
      <c r="D1610" s="51"/>
      <c r="E1610" s="9"/>
      <c r="F1610" s="5"/>
      <c r="G1610" s="5"/>
    </row>
    <row r="1611" spans="1:7" s="56" customFormat="1" x14ac:dyDescent="0.2">
      <c r="A1611" s="40"/>
      <c r="B1611" s="3"/>
      <c r="C1611" s="50"/>
      <c r="D1611" s="51"/>
      <c r="E1611" s="9"/>
      <c r="F1611" s="5"/>
      <c r="G1611" s="5"/>
    </row>
    <row r="1612" spans="1:7" s="56" customFormat="1" x14ac:dyDescent="0.2">
      <c r="A1612" s="40"/>
      <c r="B1612" s="3"/>
      <c r="C1612" s="50"/>
      <c r="D1612" s="51"/>
      <c r="E1612" s="9"/>
      <c r="F1612" s="5"/>
      <c r="G1612" s="5"/>
    </row>
    <row r="1613" spans="1:7" s="56" customFormat="1" x14ac:dyDescent="0.2">
      <c r="A1613" s="40"/>
      <c r="B1613" s="3"/>
      <c r="C1613" s="50"/>
      <c r="D1613" s="51"/>
      <c r="E1613" s="9"/>
      <c r="F1613" s="5"/>
      <c r="G1613" s="5"/>
    </row>
    <row r="1614" spans="1:7" s="56" customFormat="1" x14ac:dyDescent="0.2">
      <c r="A1614" s="40"/>
      <c r="B1614" s="3"/>
      <c r="C1614" s="50"/>
      <c r="D1614" s="51"/>
      <c r="E1614" s="9"/>
      <c r="F1614" s="5"/>
      <c r="G1614" s="5"/>
    </row>
    <row r="1615" spans="1:7" s="56" customFormat="1" x14ac:dyDescent="0.2">
      <c r="A1615" s="40"/>
      <c r="B1615" s="3"/>
      <c r="C1615" s="50"/>
      <c r="D1615" s="51"/>
      <c r="E1615" s="9"/>
      <c r="F1615" s="5"/>
      <c r="G1615" s="5"/>
    </row>
    <row r="1616" spans="1:7" s="56" customFormat="1" x14ac:dyDescent="0.2">
      <c r="A1616" s="40"/>
      <c r="B1616" s="3"/>
      <c r="C1616" s="50"/>
      <c r="D1616" s="51"/>
      <c r="E1616" s="9"/>
      <c r="F1616" s="5"/>
      <c r="G1616" s="5"/>
    </row>
    <row r="1617" spans="1:7" s="56" customFormat="1" x14ac:dyDescent="0.2">
      <c r="A1617" s="40"/>
      <c r="B1617" s="3"/>
      <c r="C1617" s="50"/>
      <c r="D1617" s="51"/>
      <c r="E1617" s="9"/>
      <c r="F1617" s="5"/>
      <c r="G1617" s="5"/>
    </row>
    <row r="1618" spans="1:7" s="56" customFormat="1" x14ac:dyDescent="0.2">
      <c r="A1618" s="40"/>
      <c r="B1618" s="3"/>
      <c r="C1618" s="50"/>
      <c r="D1618" s="51"/>
      <c r="E1618" s="9"/>
      <c r="F1618" s="5"/>
      <c r="G1618" s="5"/>
    </row>
    <row r="1619" spans="1:7" s="56" customFormat="1" x14ac:dyDescent="0.2">
      <c r="A1619" s="40"/>
      <c r="B1619" s="3"/>
      <c r="C1619" s="50"/>
      <c r="D1619" s="51"/>
      <c r="E1619" s="9"/>
      <c r="F1619" s="5"/>
      <c r="G1619" s="5"/>
    </row>
    <row r="1620" spans="1:7" s="56" customFormat="1" x14ac:dyDescent="0.2">
      <c r="A1620" s="40"/>
      <c r="B1620" s="3"/>
      <c r="C1620" s="50"/>
      <c r="D1620" s="51"/>
      <c r="E1620" s="9"/>
      <c r="F1620" s="5"/>
      <c r="G1620" s="5"/>
    </row>
    <row r="1621" spans="1:7" s="56" customFormat="1" x14ac:dyDescent="0.2">
      <c r="A1621" s="40"/>
      <c r="B1621" s="3"/>
      <c r="C1621" s="50"/>
      <c r="D1621" s="51"/>
      <c r="E1621" s="9"/>
      <c r="F1621" s="5"/>
      <c r="G1621" s="5"/>
    </row>
    <row r="1622" spans="1:7" s="56" customFormat="1" x14ac:dyDescent="0.2">
      <c r="A1622" s="40"/>
      <c r="B1622" s="3"/>
      <c r="C1622" s="50"/>
      <c r="D1622" s="51"/>
      <c r="E1622" s="9"/>
      <c r="F1622" s="5"/>
      <c r="G1622" s="5"/>
    </row>
    <row r="1623" spans="1:7" s="56" customFormat="1" x14ac:dyDescent="0.2">
      <c r="A1623" s="40"/>
      <c r="B1623" s="3"/>
      <c r="C1623" s="50"/>
      <c r="D1623" s="51"/>
      <c r="E1623" s="9"/>
      <c r="F1623" s="5"/>
      <c r="G1623" s="5"/>
    </row>
    <row r="1624" spans="1:7" s="56" customFormat="1" x14ac:dyDescent="0.2">
      <c r="A1624" s="40"/>
      <c r="B1624" s="3"/>
      <c r="C1624" s="50"/>
      <c r="D1624" s="51"/>
      <c r="E1624" s="9"/>
      <c r="F1624" s="5"/>
      <c r="G1624" s="5"/>
    </row>
    <row r="1625" spans="1:7" s="56" customFormat="1" x14ac:dyDescent="0.2">
      <c r="A1625" s="40"/>
      <c r="B1625" s="3"/>
      <c r="C1625" s="50"/>
      <c r="D1625" s="51"/>
      <c r="E1625" s="9"/>
      <c r="F1625" s="5"/>
      <c r="G1625" s="5"/>
    </row>
    <row r="1626" spans="1:7" s="56" customFormat="1" x14ac:dyDescent="0.2">
      <c r="A1626" s="40"/>
      <c r="B1626" s="3"/>
      <c r="C1626" s="50"/>
      <c r="D1626" s="51"/>
      <c r="E1626" s="9"/>
      <c r="F1626" s="5"/>
      <c r="G1626" s="5"/>
    </row>
    <row r="1627" spans="1:7" s="56" customFormat="1" x14ac:dyDescent="0.2">
      <c r="A1627" s="40"/>
      <c r="B1627" s="3"/>
      <c r="C1627" s="50"/>
      <c r="D1627" s="51"/>
      <c r="E1627" s="9"/>
      <c r="F1627" s="5"/>
      <c r="G1627" s="5"/>
    </row>
    <row r="1628" spans="1:7" s="56" customFormat="1" x14ac:dyDescent="0.2">
      <c r="A1628" s="40"/>
      <c r="B1628" s="3"/>
      <c r="C1628" s="50"/>
      <c r="D1628" s="51"/>
      <c r="E1628" s="9"/>
      <c r="F1628" s="5"/>
      <c r="G1628" s="5"/>
    </row>
    <row r="1629" spans="1:7" s="56" customFormat="1" x14ac:dyDescent="0.2">
      <c r="A1629" s="40"/>
      <c r="B1629" s="3"/>
      <c r="C1629" s="50"/>
      <c r="D1629" s="51"/>
      <c r="E1629" s="9"/>
      <c r="F1629" s="5"/>
      <c r="G1629" s="5"/>
    </row>
    <row r="1630" spans="1:7" s="56" customFormat="1" x14ac:dyDescent="0.2">
      <c r="A1630" s="40"/>
      <c r="B1630" s="3"/>
      <c r="C1630" s="50"/>
      <c r="D1630" s="51"/>
      <c r="E1630" s="9"/>
      <c r="F1630" s="5"/>
      <c r="G1630" s="5"/>
    </row>
    <row r="1631" spans="1:7" s="56" customFormat="1" x14ac:dyDescent="0.2">
      <c r="A1631" s="40"/>
      <c r="B1631" s="3"/>
      <c r="C1631" s="50"/>
      <c r="D1631" s="51"/>
      <c r="E1631" s="9"/>
      <c r="F1631" s="5"/>
      <c r="G1631" s="5"/>
    </row>
    <row r="1632" spans="1:7" s="56" customFormat="1" x14ac:dyDescent="0.2">
      <c r="A1632" s="40"/>
      <c r="B1632" s="3"/>
      <c r="C1632" s="50"/>
      <c r="D1632" s="51"/>
      <c r="E1632" s="9"/>
      <c r="F1632" s="5"/>
      <c r="G1632" s="5"/>
    </row>
    <row r="1633" spans="1:7" s="56" customFormat="1" x14ac:dyDescent="0.2">
      <c r="A1633" s="40"/>
      <c r="B1633" s="3"/>
      <c r="C1633" s="50"/>
      <c r="D1633" s="51"/>
      <c r="E1633" s="9"/>
      <c r="F1633" s="5"/>
      <c r="G1633" s="5"/>
    </row>
    <row r="1634" spans="1:7" s="56" customFormat="1" x14ac:dyDescent="0.2">
      <c r="A1634" s="40"/>
      <c r="B1634" s="3"/>
      <c r="C1634" s="50"/>
      <c r="D1634" s="51"/>
      <c r="E1634" s="9"/>
      <c r="F1634" s="5"/>
      <c r="G1634" s="5"/>
    </row>
    <row r="1635" spans="1:7" s="56" customFormat="1" x14ac:dyDescent="0.2">
      <c r="A1635" s="40"/>
      <c r="B1635" s="3"/>
      <c r="C1635" s="50"/>
      <c r="D1635" s="51"/>
      <c r="E1635" s="9"/>
      <c r="F1635" s="5"/>
      <c r="G1635" s="5"/>
    </row>
    <row r="1636" spans="1:7" s="56" customFormat="1" x14ac:dyDescent="0.2">
      <c r="A1636" s="40"/>
      <c r="B1636" s="3"/>
      <c r="C1636" s="50"/>
      <c r="D1636" s="51"/>
      <c r="E1636" s="9"/>
      <c r="F1636" s="5"/>
      <c r="G1636" s="5"/>
    </row>
    <row r="1637" spans="1:7" s="56" customFormat="1" x14ac:dyDescent="0.2">
      <c r="A1637" s="40"/>
      <c r="B1637" s="3"/>
      <c r="C1637" s="50"/>
      <c r="D1637" s="51"/>
      <c r="E1637" s="9"/>
      <c r="F1637" s="5"/>
      <c r="G1637" s="5"/>
    </row>
    <row r="1638" spans="1:7" s="56" customFormat="1" x14ac:dyDescent="0.2">
      <c r="A1638" s="40"/>
      <c r="B1638" s="3"/>
      <c r="C1638" s="50"/>
      <c r="D1638" s="51"/>
      <c r="E1638" s="9"/>
      <c r="F1638" s="5"/>
      <c r="G1638" s="5"/>
    </row>
    <row r="1639" spans="1:7" s="56" customFormat="1" x14ac:dyDescent="0.2">
      <c r="A1639" s="40"/>
      <c r="B1639" s="3"/>
      <c r="C1639" s="50"/>
      <c r="D1639" s="51"/>
      <c r="E1639" s="9"/>
      <c r="F1639" s="5"/>
      <c r="G1639" s="5"/>
    </row>
    <row r="1640" spans="1:7" s="56" customFormat="1" x14ac:dyDescent="0.2">
      <c r="A1640" s="40"/>
      <c r="B1640" s="3"/>
      <c r="C1640" s="50"/>
      <c r="D1640" s="51"/>
      <c r="E1640" s="9"/>
      <c r="F1640" s="5"/>
      <c r="G1640" s="5"/>
    </row>
    <row r="1641" spans="1:7" s="56" customFormat="1" x14ac:dyDescent="0.2">
      <c r="A1641" s="40"/>
      <c r="B1641" s="3"/>
      <c r="C1641" s="50"/>
      <c r="D1641" s="51"/>
      <c r="E1641" s="9"/>
      <c r="F1641" s="5"/>
      <c r="G1641" s="5"/>
    </row>
    <row r="1642" spans="1:7" s="56" customFormat="1" x14ac:dyDescent="0.2">
      <c r="A1642" s="40"/>
      <c r="B1642" s="3"/>
      <c r="C1642" s="50"/>
      <c r="D1642" s="51"/>
      <c r="E1642" s="9"/>
      <c r="F1642" s="5"/>
      <c r="G1642" s="5"/>
    </row>
    <row r="1643" spans="1:7" s="56" customFormat="1" x14ac:dyDescent="0.2">
      <c r="A1643" s="40"/>
      <c r="B1643" s="3"/>
      <c r="C1643" s="50"/>
      <c r="D1643" s="51"/>
      <c r="E1643" s="9"/>
      <c r="F1643" s="5"/>
      <c r="G1643" s="5"/>
    </row>
    <row r="1644" spans="1:7" s="56" customFormat="1" x14ac:dyDescent="0.2">
      <c r="A1644" s="40"/>
      <c r="B1644" s="3"/>
      <c r="C1644" s="50"/>
      <c r="D1644" s="51"/>
      <c r="E1644" s="9"/>
      <c r="F1644" s="5"/>
      <c r="G1644" s="5"/>
    </row>
    <row r="1645" spans="1:7" s="56" customFormat="1" x14ac:dyDescent="0.2">
      <c r="A1645" s="40"/>
      <c r="B1645" s="3"/>
      <c r="C1645" s="50"/>
      <c r="D1645" s="51"/>
      <c r="E1645" s="9"/>
      <c r="F1645" s="5"/>
      <c r="G1645" s="5"/>
    </row>
    <row r="1646" spans="1:7" s="56" customFormat="1" x14ac:dyDescent="0.2">
      <c r="A1646" s="40"/>
      <c r="B1646" s="3"/>
      <c r="C1646" s="50"/>
      <c r="D1646" s="51"/>
      <c r="E1646" s="9"/>
      <c r="F1646" s="5"/>
      <c r="G1646" s="5"/>
    </row>
    <row r="1647" spans="1:7" s="56" customFormat="1" x14ac:dyDescent="0.2">
      <c r="A1647" s="40"/>
      <c r="B1647" s="3"/>
      <c r="C1647" s="50"/>
      <c r="D1647" s="51"/>
      <c r="E1647" s="9"/>
      <c r="F1647" s="5"/>
      <c r="G1647" s="5"/>
    </row>
    <row r="1648" spans="1:7" s="56" customFormat="1" x14ac:dyDescent="0.2">
      <c r="A1648" s="40"/>
      <c r="B1648" s="3"/>
      <c r="C1648" s="50"/>
      <c r="D1648" s="51"/>
      <c r="E1648" s="9"/>
      <c r="F1648" s="5"/>
      <c r="G1648" s="5"/>
    </row>
    <row r="1649" spans="1:7" s="56" customFormat="1" x14ac:dyDescent="0.2">
      <c r="A1649" s="40"/>
      <c r="B1649" s="3"/>
      <c r="C1649" s="50"/>
      <c r="D1649" s="51"/>
      <c r="E1649" s="9"/>
      <c r="F1649" s="5"/>
      <c r="G1649" s="5"/>
    </row>
    <row r="1650" spans="1:7" s="56" customFormat="1" x14ac:dyDescent="0.2">
      <c r="A1650" s="40"/>
      <c r="B1650" s="3"/>
      <c r="C1650" s="50"/>
      <c r="D1650" s="51"/>
      <c r="E1650" s="9"/>
      <c r="F1650" s="5"/>
      <c r="G1650" s="5"/>
    </row>
    <row r="1651" spans="1:7" s="56" customFormat="1" x14ac:dyDescent="0.2">
      <c r="A1651" s="40"/>
      <c r="B1651" s="3"/>
      <c r="C1651" s="50"/>
      <c r="D1651" s="51"/>
      <c r="E1651" s="9"/>
      <c r="F1651" s="5"/>
      <c r="G1651" s="5"/>
    </row>
    <row r="1652" spans="1:7" s="56" customFormat="1" x14ac:dyDescent="0.2">
      <c r="A1652" s="40"/>
      <c r="B1652" s="3"/>
      <c r="C1652" s="50"/>
      <c r="D1652" s="51"/>
      <c r="E1652" s="9"/>
      <c r="F1652" s="5"/>
      <c r="G1652" s="5"/>
    </row>
    <row r="1653" spans="1:7" s="56" customFormat="1" x14ac:dyDescent="0.2">
      <c r="A1653" s="40"/>
      <c r="B1653" s="3"/>
      <c r="C1653" s="50"/>
      <c r="D1653" s="51"/>
      <c r="E1653" s="9"/>
      <c r="F1653" s="5"/>
      <c r="G1653" s="5"/>
    </row>
    <row r="1654" spans="1:7" s="56" customFormat="1" x14ac:dyDescent="0.2">
      <c r="A1654" s="40"/>
      <c r="B1654" s="3"/>
      <c r="C1654" s="50"/>
      <c r="D1654" s="51"/>
      <c r="E1654" s="9"/>
      <c r="F1654" s="5"/>
      <c r="G1654" s="5"/>
    </row>
    <row r="1655" spans="1:7" s="56" customFormat="1" x14ac:dyDescent="0.2">
      <c r="A1655" s="40"/>
      <c r="B1655" s="3"/>
      <c r="C1655" s="50"/>
      <c r="D1655" s="51"/>
      <c r="E1655" s="9"/>
      <c r="F1655" s="5"/>
      <c r="G1655" s="5"/>
    </row>
    <row r="1656" spans="1:7" s="56" customFormat="1" x14ac:dyDescent="0.2">
      <c r="A1656" s="40"/>
      <c r="B1656" s="3"/>
      <c r="C1656" s="50"/>
      <c r="D1656" s="51"/>
      <c r="E1656" s="9"/>
      <c r="F1656" s="5"/>
      <c r="G1656" s="5"/>
    </row>
    <row r="1657" spans="1:7" s="56" customFormat="1" x14ac:dyDescent="0.2">
      <c r="A1657" s="40"/>
      <c r="B1657" s="3"/>
      <c r="C1657" s="50"/>
      <c r="D1657" s="51"/>
      <c r="E1657" s="9"/>
      <c r="F1657" s="5"/>
      <c r="G1657" s="5"/>
    </row>
    <row r="1658" spans="1:7" s="56" customFormat="1" x14ac:dyDescent="0.2">
      <c r="A1658" s="40"/>
      <c r="B1658" s="3"/>
      <c r="C1658" s="50"/>
      <c r="D1658" s="51"/>
      <c r="E1658" s="9"/>
      <c r="F1658" s="5"/>
      <c r="G1658" s="5"/>
    </row>
    <row r="1659" spans="1:7" s="56" customFormat="1" x14ac:dyDescent="0.2">
      <c r="A1659" s="40"/>
      <c r="B1659" s="3"/>
      <c r="C1659" s="50"/>
      <c r="D1659" s="51"/>
      <c r="E1659" s="9"/>
      <c r="F1659" s="5"/>
      <c r="G1659" s="5"/>
    </row>
    <row r="1660" spans="1:7" s="56" customFormat="1" x14ac:dyDescent="0.2">
      <c r="A1660" s="40"/>
      <c r="B1660" s="3"/>
      <c r="C1660" s="50"/>
      <c r="D1660" s="51"/>
      <c r="E1660" s="9"/>
      <c r="F1660" s="5"/>
      <c r="G1660" s="5"/>
    </row>
    <row r="1661" spans="1:7" s="56" customFormat="1" x14ac:dyDescent="0.2">
      <c r="A1661" s="40"/>
      <c r="B1661" s="3"/>
      <c r="C1661" s="50"/>
      <c r="D1661" s="51"/>
      <c r="E1661" s="9"/>
      <c r="F1661" s="5"/>
      <c r="G1661" s="5"/>
    </row>
    <row r="1662" spans="1:7" s="56" customFormat="1" x14ac:dyDescent="0.2">
      <c r="A1662" s="40"/>
      <c r="B1662" s="3"/>
      <c r="C1662" s="50"/>
      <c r="D1662" s="51"/>
      <c r="E1662" s="9"/>
      <c r="F1662" s="5"/>
      <c r="G1662" s="5"/>
    </row>
    <row r="1663" spans="1:7" s="56" customFormat="1" x14ac:dyDescent="0.2">
      <c r="A1663" s="40"/>
      <c r="B1663" s="3"/>
      <c r="C1663" s="50"/>
      <c r="D1663" s="51"/>
      <c r="E1663" s="9"/>
      <c r="F1663" s="5"/>
      <c r="G1663" s="5"/>
    </row>
    <row r="1664" spans="1:7" s="56" customFormat="1" x14ac:dyDescent="0.2">
      <c r="A1664" s="40"/>
      <c r="B1664" s="3"/>
      <c r="C1664" s="50"/>
      <c r="D1664" s="51"/>
      <c r="E1664" s="9"/>
      <c r="F1664" s="5"/>
      <c r="G1664" s="5"/>
    </row>
    <row r="1665" spans="1:7" s="56" customFormat="1" x14ac:dyDescent="0.2">
      <c r="A1665" s="40"/>
      <c r="B1665" s="3"/>
      <c r="C1665" s="50"/>
      <c r="D1665" s="51"/>
      <c r="E1665" s="9"/>
      <c r="F1665" s="5"/>
      <c r="G1665" s="5"/>
    </row>
    <row r="1666" spans="1:7" s="56" customFormat="1" x14ac:dyDescent="0.2">
      <c r="A1666" s="40"/>
      <c r="B1666" s="3"/>
      <c r="C1666" s="50"/>
      <c r="D1666" s="51"/>
      <c r="E1666" s="9"/>
      <c r="F1666" s="5"/>
      <c r="G1666" s="5"/>
    </row>
    <row r="1667" spans="1:7" s="56" customFormat="1" x14ac:dyDescent="0.2">
      <c r="A1667" s="40"/>
      <c r="B1667" s="3"/>
      <c r="C1667" s="50"/>
      <c r="D1667" s="51"/>
      <c r="E1667" s="9"/>
      <c r="F1667" s="5"/>
      <c r="G1667" s="5"/>
    </row>
    <row r="1668" spans="1:7" s="56" customFormat="1" x14ac:dyDescent="0.2">
      <c r="A1668" s="40"/>
      <c r="B1668" s="3"/>
      <c r="C1668" s="50"/>
      <c r="D1668" s="51"/>
      <c r="E1668" s="9"/>
      <c r="F1668" s="5"/>
      <c r="G1668" s="5"/>
    </row>
    <row r="1669" spans="1:7" s="56" customFormat="1" x14ac:dyDescent="0.2">
      <c r="A1669" s="40"/>
      <c r="B1669" s="3"/>
      <c r="C1669" s="50"/>
      <c r="D1669" s="51"/>
      <c r="E1669" s="9"/>
      <c r="F1669" s="5"/>
      <c r="G1669" s="5"/>
    </row>
    <row r="1670" spans="1:7" s="56" customFormat="1" x14ac:dyDescent="0.2">
      <c r="A1670" s="40"/>
      <c r="B1670" s="3"/>
      <c r="C1670" s="50"/>
      <c r="D1670" s="51"/>
      <c r="E1670" s="9"/>
      <c r="F1670" s="5"/>
      <c r="G1670" s="5"/>
    </row>
    <row r="1671" spans="1:7" s="56" customFormat="1" x14ac:dyDescent="0.2">
      <c r="A1671" s="40"/>
      <c r="B1671" s="3"/>
      <c r="C1671" s="50"/>
      <c r="D1671" s="51"/>
      <c r="E1671" s="9"/>
      <c r="F1671" s="5"/>
      <c r="G1671" s="5"/>
    </row>
    <row r="1672" spans="1:7" s="56" customFormat="1" x14ac:dyDescent="0.2">
      <c r="A1672" s="40"/>
      <c r="B1672" s="3"/>
      <c r="C1672" s="50"/>
      <c r="D1672" s="51"/>
      <c r="E1672" s="9"/>
      <c r="F1672" s="5"/>
      <c r="G1672" s="5"/>
    </row>
    <row r="1673" spans="1:7" s="56" customFormat="1" x14ac:dyDescent="0.2">
      <c r="A1673" s="40"/>
      <c r="B1673" s="3"/>
      <c r="C1673" s="50"/>
      <c r="D1673" s="51"/>
      <c r="E1673" s="9"/>
      <c r="F1673" s="5"/>
      <c r="G1673" s="5"/>
    </row>
    <row r="1674" spans="1:7" s="56" customFormat="1" x14ac:dyDescent="0.2">
      <c r="A1674" s="40"/>
      <c r="B1674" s="3"/>
      <c r="C1674" s="50"/>
      <c r="D1674" s="51"/>
      <c r="E1674" s="9"/>
      <c r="F1674" s="5"/>
      <c r="G1674" s="5"/>
    </row>
    <row r="1675" spans="1:7" s="56" customFormat="1" x14ac:dyDescent="0.2">
      <c r="A1675" s="40"/>
      <c r="B1675" s="3"/>
      <c r="C1675" s="50"/>
      <c r="D1675" s="51"/>
      <c r="E1675" s="9"/>
      <c r="F1675" s="5"/>
      <c r="G1675" s="5"/>
    </row>
    <row r="1676" spans="1:7" s="56" customFormat="1" x14ac:dyDescent="0.2">
      <c r="A1676" s="40"/>
      <c r="B1676" s="3"/>
      <c r="C1676" s="50"/>
      <c r="D1676" s="51"/>
      <c r="E1676" s="9"/>
      <c r="F1676" s="5"/>
      <c r="G1676" s="5"/>
    </row>
    <row r="1677" spans="1:7" s="56" customFormat="1" x14ac:dyDescent="0.2">
      <c r="A1677" s="40"/>
      <c r="B1677" s="3"/>
      <c r="C1677" s="50"/>
      <c r="D1677" s="51"/>
      <c r="E1677" s="9"/>
      <c r="F1677" s="5"/>
      <c r="G1677" s="5"/>
    </row>
    <row r="1678" spans="1:7" s="56" customFormat="1" x14ac:dyDescent="0.2">
      <c r="A1678" s="40"/>
      <c r="B1678" s="3"/>
      <c r="C1678" s="50"/>
      <c r="D1678" s="51"/>
      <c r="E1678" s="9"/>
      <c r="F1678" s="5"/>
      <c r="G1678" s="5"/>
    </row>
    <row r="1679" spans="1:7" s="56" customFormat="1" x14ac:dyDescent="0.2">
      <c r="A1679" s="40"/>
      <c r="B1679" s="3"/>
      <c r="C1679" s="50"/>
      <c r="D1679" s="51"/>
      <c r="E1679" s="9"/>
      <c r="F1679" s="5"/>
      <c r="G1679" s="5"/>
    </row>
    <row r="1680" spans="1:7" s="56" customFormat="1" x14ac:dyDescent="0.2">
      <c r="A1680" s="40"/>
      <c r="B1680" s="3"/>
      <c r="C1680" s="50"/>
      <c r="D1680" s="51"/>
      <c r="E1680" s="9"/>
      <c r="F1680" s="5"/>
      <c r="G1680" s="5"/>
    </row>
    <row r="1681" spans="1:7" s="56" customFormat="1" x14ac:dyDescent="0.2">
      <c r="A1681" s="40"/>
      <c r="B1681" s="3"/>
      <c r="C1681" s="50"/>
      <c r="D1681" s="51"/>
      <c r="E1681" s="9"/>
      <c r="F1681" s="5"/>
      <c r="G1681" s="5"/>
    </row>
    <row r="1682" spans="1:7" s="56" customFormat="1" x14ac:dyDescent="0.2">
      <c r="A1682" s="40"/>
      <c r="B1682" s="3"/>
      <c r="C1682" s="50"/>
      <c r="D1682" s="51"/>
      <c r="E1682" s="9"/>
      <c r="F1682" s="5"/>
      <c r="G1682" s="5"/>
    </row>
    <row r="1683" spans="1:7" s="56" customFormat="1" x14ac:dyDescent="0.2">
      <c r="A1683" s="40"/>
      <c r="B1683" s="3"/>
      <c r="C1683" s="50"/>
      <c r="D1683" s="51"/>
      <c r="E1683" s="9"/>
      <c r="F1683" s="5"/>
      <c r="G1683" s="5"/>
    </row>
    <row r="1684" spans="1:7" s="56" customFormat="1" x14ac:dyDescent="0.2">
      <c r="A1684" s="40"/>
      <c r="B1684" s="3"/>
      <c r="C1684" s="50"/>
      <c r="D1684" s="51"/>
      <c r="E1684" s="9"/>
      <c r="F1684" s="5"/>
      <c r="G1684" s="5"/>
    </row>
    <row r="1685" spans="1:7" s="56" customFormat="1" x14ac:dyDescent="0.2">
      <c r="A1685" s="40"/>
      <c r="B1685" s="3"/>
      <c r="C1685" s="50"/>
      <c r="D1685" s="51"/>
      <c r="E1685" s="9"/>
      <c r="F1685" s="5"/>
      <c r="G1685" s="5"/>
    </row>
    <row r="1686" spans="1:7" s="56" customFormat="1" x14ac:dyDescent="0.2">
      <c r="A1686" s="40"/>
      <c r="B1686" s="3"/>
      <c r="C1686" s="50"/>
      <c r="D1686" s="51"/>
      <c r="E1686" s="9"/>
      <c r="F1686" s="5"/>
      <c r="G1686" s="5"/>
    </row>
    <row r="1687" spans="1:7" s="56" customFormat="1" x14ac:dyDescent="0.2">
      <c r="A1687" s="40"/>
      <c r="B1687" s="3"/>
      <c r="C1687" s="50"/>
      <c r="D1687" s="51"/>
      <c r="E1687" s="9"/>
      <c r="F1687" s="5"/>
      <c r="G1687" s="5"/>
    </row>
    <row r="1688" spans="1:7" s="56" customFormat="1" x14ac:dyDescent="0.2">
      <c r="A1688" s="40"/>
      <c r="B1688" s="3"/>
      <c r="C1688" s="50"/>
      <c r="D1688" s="51"/>
      <c r="E1688" s="9"/>
      <c r="F1688" s="5"/>
      <c r="G1688" s="5"/>
    </row>
    <row r="1689" spans="1:7" s="56" customFormat="1" x14ac:dyDescent="0.2">
      <c r="A1689" s="40"/>
      <c r="B1689" s="3"/>
      <c r="C1689" s="50"/>
      <c r="D1689" s="51"/>
      <c r="E1689" s="9"/>
      <c r="F1689" s="5"/>
      <c r="G1689" s="5"/>
    </row>
    <row r="1690" spans="1:7" s="56" customFormat="1" x14ac:dyDescent="0.2">
      <c r="A1690" s="40"/>
      <c r="B1690" s="3"/>
      <c r="C1690" s="50"/>
      <c r="D1690" s="51"/>
      <c r="E1690" s="9"/>
      <c r="F1690" s="5"/>
      <c r="G1690" s="5"/>
    </row>
    <row r="1691" spans="1:7" s="56" customFormat="1" x14ac:dyDescent="0.2">
      <c r="A1691" s="40"/>
      <c r="B1691" s="3"/>
      <c r="C1691" s="50"/>
      <c r="D1691" s="51"/>
      <c r="E1691" s="9"/>
      <c r="F1691" s="5"/>
      <c r="G1691" s="5"/>
    </row>
    <row r="1692" spans="1:7" s="56" customFormat="1" x14ac:dyDescent="0.2">
      <c r="A1692" s="40"/>
      <c r="B1692" s="3"/>
      <c r="C1692" s="50"/>
      <c r="D1692" s="51"/>
      <c r="E1692" s="9"/>
      <c r="F1692" s="5"/>
      <c r="G1692" s="5"/>
    </row>
    <row r="1693" spans="1:7" s="56" customFormat="1" x14ac:dyDescent="0.2">
      <c r="A1693" s="40"/>
      <c r="B1693" s="3"/>
      <c r="C1693" s="50"/>
      <c r="D1693" s="51"/>
      <c r="E1693" s="9"/>
      <c r="F1693" s="5"/>
      <c r="G1693" s="5"/>
    </row>
    <row r="1694" spans="1:7" s="56" customFormat="1" x14ac:dyDescent="0.2">
      <c r="A1694" s="40"/>
      <c r="B1694" s="3"/>
      <c r="C1694" s="50"/>
      <c r="D1694" s="51"/>
      <c r="E1694" s="9"/>
      <c r="F1694" s="5"/>
      <c r="G1694" s="5"/>
    </row>
    <row r="1695" spans="1:7" s="56" customFormat="1" x14ac:dyDescent="0.2">
      <c r="A1695" s="40"/>
      <c r="B1695" s="3"/>
      <c r="C1695" s="50"/>
      <c r="D1695" s="51"/>
      <c r="E1695" s="9"/>
      <c r="F1695" s="5"/>
      <c r="G1695" s="5"/>
    </row>
    <row r="1696" spans="1:7" s="56" customFormat="1" x14ac:dyDescent="0.2">
      <c r="A1696" s="40"/>
      <c r="B1696" s="3"/>
      <c r="C1696" s="50"/>
      <c r="D1696" s="51"/>
      <c r="E1696" s="9"/>
      <c r="F1696" s="5"/>
      <c r="G1696" s="5"/>
    </row>
    <row r="1697" spans="1:7" s="56" customFormat="1" x14ac:dyDescent="0.2">
      <c r="A1697" s="40"/>
      <c r="B1697" s="3"/>
      <c r="C1697" s="50"/>
      <c r="D1697" s="51"/>
      <c r="E1697" s="9"/>
      <c r="F1697" s="5"/>
      <c r="G1697" s="5"/>
    </row>
    <row r="1698" spans="1:7" s="56" customFormat="1" x14ac:dyDescent="0.2">
      <c r="A1698" s="40"/>
      <c r="B1698" s="3"/>
      <c r="C1698" s="50"/>
      <c r="D1698" s="51"/>
      <c r="E1698" s="9"/>
      <c r="F1698" s="5"/>
      <c r="G1698" s="5"/>
    </row>
    <row r="1699" spans="1:7" s="56" customFormat="1" x14ac:dyDescent="0.2">
      <c r="A1699" s="40"/>
      <c r="B1699" s="3"/>
      <c r="C1699" s="50"/>
      <c r="D1699" s="51"/>
      <c r="E1699" s="9"/>
      <c r="F1699" s="5"/>
      <c r="G1699" s="5"/>
    </row>
    <row r="1700" spans="1:7" s="56" customFormat="1" x14ac:dyDescent="0.2">
      <c r="A1700" s="40"/>
      <c r="B1700" s="3"/>
      <c r="C1700" s="50"/>
      <c r="D1700" s="51"/>
      <c r="E1700" s="9"/>
      <c r="F1700" s="5"/>
      <c r="G1700" s="5"/>
    </row>
    <row r="1701" spans="1:7" s="56" customFormat="1" x14ac:dyDescent="0.2">
      <c r="A1701" s="40"/>
      <c r="B1701" s="3"/>
      <c r="C1701" s="50"/>
      <c r="D1701" s="51"/>
      <c r="E1701" s="9"/>
      <c r="F1701" s="5"/>
      <c r="G1701" s="5"/>
    </row>
    <row r="1702" spans="1:7" s="56" customFormat="1" x14ac:dyDescent="0.2">
      <c r="A1702" s="40"/>
      <c r="B1702" s="3"/>
      <c r="C1702" s="50"/>
      <c r="D1702" s="51"/>
      <c r="E1702" s="9"/>
      <c r="F1702" s="5"/>
      <c r="G1702" s="5"/>
    </row>
    <row r="1703" spans="1:7" s="56" customFormat="1" x14ac:dyDescent="0.2">
      <c r="A1703" s="40"/>
      <c r="B1703" s="3"/>
      <c r="C1703" s="50"/>
      <c r="D1703" s="51"/>
      <c r="E1703" s="9"/>
      <c r="F1703" s="5"/>
      <c r="G1703" s="5"/>
    </row>
    <row r="1704" spans="1:7" s="56" customFormat="1" x14ac:dyDescent="0.2">
      <c r="A1704" s="40"/>
      <c r="B1704" s="3"/>
      <c r="C1704" s="50"/>
      <c r="D1704" s="51"/>
      <c r="E1704" s="9"/>
      <c r="F1704" s="5"/>
      <c r="G1704" s="5"/>
    </row>
    <row r="1705" spans="1:7" s="56" customFormat="1" x14ac:dyDescent="0.2">
      <c r="A1705" s="40"/>
      <c r="B1705" s="3"/>
      <c r="C1705" s="50"/>
      <c r="D1705" s="51"/>
      <c r="E1705" s="9"/>
      <c r="F1705" s="5"/>
      <c r="G1705" s="5"/>
    </row>
    <row r="1706" spans="1:7" s="56" customFormat="1" x14ac:dyDescent="0.2">
      <c r="A1706" s="40"/>
      <c r="B1706" s="3"/>
      <c r="C1706" s="50"/>
      <c r="D1706" s="51"/>
      <c r="E1706" s="9"/>
      <c r="F1706" s="5"/>
      <c r="G1706" s="5"/>
    </row>
    <row r="1707" spans="1:7" s="56" customFormat="1" x14ac:dyDescent="0.2">
      <c r="A1707" s="40"/>
      <c r="B1707" s="3"/>
      <c r="C1707" s="50"/>
      <c r="D1707" s="51"/>
      <c r="E1707" s="9"/>
      <c r="F1707" s="5"/>
      <c r="G1707" s="5"/>
    </row>
    <row r="1708" spans="1:7" s="56" customFormat="1" x14ac:dyDescent="0.2">
      <c r="A1708" s="40"/>
      <c r="B1708" s="3"/>
      <c r="C1708" s="50"/>
      <c r="D1708" s="51"/>
      <c r="E1708" s="9"/>
      <c r="F1708" s="5"/>
      <c r="G1708" s="5"/>
    </row>
    <row r="1709" spans="1:7" s="56" customFormat="1" x14ac:dyDescent="0.2">
      <c r="A1709" s="40"/>
      <c r="B1709" s="3"/>
      <c r="C1709" s="50"/>
      <c r="D1709" s="51"/>
      <c r="E1709" s="9"/>
      <c r="F1709" s="5"/>
      <c r="G1709" s="5"/>
    </row>
    <row r="1710" spans="1:7" s="56" customFormat="1" x14ac:dyDescent="0.2">
      <c r="A1710" s="40"/>
      <c r="B1710" s="3"/>
      <c r="C1710" s="50"/>
      <c r="D1710" s="51"/>
      <c r="E1710" s="9"/>
      <c r="F1710" s="5"/>
      <c r="G1710" s="5"/>
    </row>
    <row r="1711" spans="1:7" s="56" customFormat="1" x14ac:dyDescent="0.2">
      <c r="A1711" s="40"/>
      <c r="B1711" s="3"/>
      <c r="C1711" s="50"/>
      <c r="D1711" s="51"/>
      <c r="E1711" s="9"/>
      <c r="F1711" s="5"/>
      <c r="G1711" s="5"/>
    </row>
    <row r="1712" spans="1:7" s="56" customFormat="1" x14ac:dyDescent="0.2">
      <c r="A1712" s="40"/>
      <c r="B1712" s="3"/>
      <c r="C1712" s="50"/>
      <c r="D1712" s="51"/>
      <c r="E1712" s="9"/>
      <c r="F1712" s="5"/>
      <c r="G1712" s="5"/>
    </row>
    <row r="1713" spans="1:7" s="56" customFormat="1" x14ac:dyDescent="0.2">
      <c r="A1713" s="40"/>
      <c r="B1713" s="3"/>
      <c r="C1713" s="50"/>
      <c r="D1713" s="51"/>
      <c r="E1713" s="9"/>
      <c r="F1713" s="5"/>
      <c r="G1713" s="5"/>
    </row>
    <row r="1714" spans="1:7" s="56" customFormat="1" x14ac:dyDescent="0.2">
      <c r="A1714" s="40"/>
      <c r="B1714" s="3"/>
      <c r="C1714" s="50"/>
      <c r="D1714" s="51"/>
      <c r="E1714" s="9"/>
      <c r="F1714" s="5"/>
      <c r="G1714" s="5"/>
    </row>
    <row r="1715" spans="1:7" s="56" customFormat="1" x14ac:dyDescent="0.2">
      <c r="A1715" s="40"/>
      <c r="B1715" s="3"/>
      <c r="C1715" s="50"/>
      <c r="D1715" s="51"/>
      <c r="E1715" s="9"/>
      <c r="F1715" s="5"/>
      <c r="G1715" s="5"/>
    </row>
    <row r="1716" spans="1:7" s="56" customFormat="1" x14ac:dyDescent="0.2">
      <c r="A1716" s="40"/>
      <c r="B1716" s="3"/>
      <c r="C1716" s="50"/>
      <c r="D1716" s="51"/>
      <c r="E1716" s="9"/>
      <c r="F1716" s="5"/>
      <c r="G1716" s="5"/>
    </row>
    <row r="1717" spans="1:7" s="56" customFormat="1" x14ac:dyDescent="0.2">
      <c r="A1717" s="40"/>
      <c r="B1717" s="3"/>
      <c r="C1717" s="50"/>
      <c r="D1717" s="51"/>
      <c r="E1717" s="9"/>
      <c r="F1717" s="5"/>
      <c r="G1717" s="5"/>
    </row>
    <row r="1718" spans="1:7" s="56" customFormat="1" x14ac:dyDescent="0.2">
      <c r="A1718" s="40"/>
      <c r="B1718" s="3"/>
      <c r="C1718" s="50"/>
      <c r="D1718" s="51"/>
      <c r="E1718" s="9"/>
      <c r="F1718" s="5"/>
      <c r="G1718" s="5"/>
    </row>
    <row r="1719" spans="1:7" s="56" customFormat="1" x14ac:dyDescent="0.2">
      <c r="A1719" s="40"/>
      <c r="B1719" s="3"/>
      <c r="C1719" s="50"/>
      <c r="D1719" s="51"/>
      <c r="E1719" s="9"/>
      <c r="F1719" s="5"/>
      <c r="G1719" s="5"/>
    </row>
    <row r="1720" spans="1:7" s="56" customFormat="1" x14ac:dyDescent="0.2">
      <c r="A1720" s="40"/>
      <c r="B1720" s="3"/>
      <c r="C1720" s="50"/>
      <c r="D1720" s="51"/>
      <c r="E1720" s="9"/>
      <c r="F1720" s="5"/>
      <c r="G1720" s="5"/>
    </row>
    <row r="1721" spans="1:7" s="56" customFormat="1" x14ac:dyDescent="0.2">
      <c r="A1721" s="40"/>
      <c r="B1721" s="3"/>
      <c r="C1721" s="50"/>
      <c r="D1721" s="51"/>
      <c r="E1721" s="9"/>
      <c r="F1721" s="5"/>
      <c r="G1721" s="5"/>
    </row>
    <row r="1722" spans="1:7" s="56" customFormat="1" x14ac:dyDescent="0.2">
      <c r="A1722" s="40"/>
      <c r="B1722" s="3"/>
      <c r="C1722" s="50"/>
      <c r="D1722" s="51"/>
      <c r="E1722" s="9"/>
      <c r="F1722" s="5"/>
      <c r="G1722" s="5"/>
    </row>
    <row r="1723" spans="1:7" s="56" customFormat="1" x14ac:dyDescent="0.2">
      <c r="A1723" s="40"/>
      <c r="B1723" s="3"/>
      <c r="C1723" s="50"/>
      <c r="D1723" s="51"/>
      <c r="E1723" s="9"/>
      <c r="F1723" s="5"/>
      <c r="G1723" s="5"/>
    </row>
    <row r="1724" spans="1:7" s="56" customFormat="1" x14ac:dyDescent="0.2">
      <c r="A1724" s="40"/>
      <c r="B1724" s="3"/>
      <c r="C1724" s="50"/>
      <c r="D1724" s="51"/>
      <c r="E1724" s="9"/>
      <c r="F1724" s="5"/>
      <c r="G1724" s="5"/>
    </row>
    <row r="1725" spans="1:7" s="56" customFormat="1" x14ac:dyDescent="0.2">
      <c r="A1725" s="40"/>
      <c r="B1725" s="3"/>
      <c r="C1725" s="27"/>
      <c r="D1725" s="52"/>
      <c r="E1725" s="9"/>
      <c r="F1725" s="5"/>
      <c r="G1725" s="5"/>
    </row>
    <row r="1726" spans="1:7" s="56" customFormat="1" x14ac:dyDescent="0.2">
      <c r="A1726" s="40"/>
      <c r="B1726" s="3"/>
      <c r="C1726" s="27"/>
      <c r="D1726" s="52"/>
      <c r="E1726" s="10"/>
      <c r="F1726" s="5"/>
      <c r="G1726" s="5"/>
    </row>
    <row r="1727" spans="1:7" s="56" customFormat="1" x14ac:dyDescent="0.2">
      <c r="A1727" s="40"/>
      <c r="B1727" s="3"/>
      <c r="C1727" s="27"/>
      <c r="D1727" s="52"/>
      <c r="E1727" s="10"/>
      <c r="F1727" s="5"/>
      <c r="G1727" s="5"/>
    </row>
    <row r="1728" spans="1:7" s="56" customFormat="1" x14ac:dyDescent="0.2">
      <c r="A1728" s="40"/>
      <c r="B1728" s="3"/>
      <c r="C1728" s="27"/>
      <c r="D1728" s="52"/>
      <c r="E1728" s="10"/>
      <c r="F1728" s="5"/>
      <c r="G1728" s="5"/>
    </row>
    <row r="1729" spans="1:7" s="56" customFormat="1" x14ac:dyDescent="0.2">
      <c r="A1729" s="40"/>
      <c r="B1729" s="3"/>
      <c r="C1729" s="27"/>
      <c r="D1729" s="52"/>
      <c r="E1729" s="10"/>
      <c r="F1729" s="5"/>
      <c r="G1729" s="5"/>
    </row>
    <row r="1730" spans="1:7" s="56" customFormat="1" x14ac:dyDescent="0.2">
      <c r="A1730" s="40"/>
      <c r="B1730" s="3"/>
      <c r="C1730" s="27"/>
      <c r="D1730" s="52"/>
      <c r="E1730" s="10"/>
      <c r="F1730" s="5"/>
      <c r="G1730" s="5"/>
    </row>
    <row r="1731" spans="1:7" s="56" customFormat="1" x14ac:dyDescent="0.2">
      <c r="A1731" s="40"/>
      <c r="B1731" s="3"/>
      <c r="C1731" s="27"/>
      <c r="D1731" s="52"/>
      <c r="E1731" s="10"/>
      <c r="F1731" s="5"/>
      <c r="G1731" s="5"/>
    </row>
    <row r="1732" spans="1:7" s="56" customFormat="1" x14ac:dyDescent="0.2">
      <c r="A1732" s="40"/>
      <c r="B1732" s="3"/>
      <c r="C1732" s="27"/>
      <c r="D1732" s="52"/>
      <c r="E1732" s="10"/>
      <c r="F1732" s="5"/>
      <c r="G1732" s="5"/>
    </row>
    <row r="1733" spans="1:7" s="56" customFormat="1" x14ac:dyDescent="0.2">
      <c r="A1733" s="40"/>
      <c r="B1733" s="3"/>
      <c r="C1733" s="27"/>
      <c r="D1733" s="52"/>
      <c r="E1733" s="10"/>
      <c r="F1733" s="5"/>
      <c r="G1733" s="5"/>
    </row>
    <row r="1734" spans="1:7" s="56" customFormat="1" x14ac:dyDescent="0.2">
      <c r="A1734" s="40"/>
      <c r="B1734" s="3"/>
      <c r="C1734" s="27"/>
      <c r="D1734" s="52"/>
      <c r="E1734" s="10"/>
      <c r="F1734" s="5"/>
      <c r="G1734" s="5"/>
    </row>
    <row r="1735" spans="1:7" s="56" customFormat="1" x14ac:dyDescent="0.2">
      <c r="A1735" s="40"/>
      <c r="B1735" s="3"/>
      <c r="C1735" s="27"/>
      <c r="D1735" s="52"/>
      <c r="E1735" s="10"/>
      <c r="F1735" s="5"/>
      <c r="G1735" s="5"/>
    </row>
    <row r="1736" spans="1:7" s="56" customFormat="1" x14ac:dyDescent="0.2">
      <c r="A1736" s="40"/>
      <c r="B1736" s="3"/>
      <c r="C1736" s="27"/>
      <c r="D1736" s="52"/>
      <c r="E1736" s="10"/>
      <c r="F1736" s="5"/>
      <c r="G1736" s="5"/>
    </row>
    <row r="1737" spans="1:7" s="56" customFormat="1" x14ac:dyDescent="0.2">
      <c r="A1737" s="40"/>
      <c r="B1737" s="3"/>
      <c r="C1737" s="27"/>
      <c r="D1737" s="52"/>
      <c r="E1737" s="10"/>
      <c r="F1737" s="5"/>
      <c r="G1737" s="5"/>
    </row>
    <row r="1738" spans="1:7" s="56" customFormat="1" x14ac:dyDescent="0.2">
      <c r="A1738" s="40"/>
      <c r="B1738" s="3"/>
      <c r="C1738" s="27"/>
      <c r="D1738" s="52"/>
      <c r="E1738" s="10"/>
      <c r="F1738" s="5"/>
      <c r="G1738" s="5"/>
    </row>
    <row r="1739" spans="1:7" s="56" customFormat="1" x14ac:dyDescent="0.2">
      <c r="A1739" s="40"/>
      <c r="B1739" s="3"/>
      <c r="C1739" s="27"/>
      <c r="D1739" s="52"/>
      <c r="E1739" s="10"/>
      <c r="F1739" s="5"/>
      <c r="G1739" s="5"/>
    </row>
    <row r="1740" spans="1:7" s="56" customFormat="1" x14ac:dyDescent="0.2">
      <c r="A1740" s="40"/>
      <c r="B1740" s="3"/>
      <c r="C1740" s="27"/>
      <c r="D1740" s="52"/>
      <c r="E1740" s="10"/>
      <c r="F1740" s="5"/>
      <c r="G1740" s="5"/>
    </row>
    <row r="1741" spans="1:7" s="56" customFormat="1" x14ac:dyDescent="0.2">
      <c r="A1741" s="40"/>
      <c r="B1741" s="3"/>
      <c r="C1741" s="27"/>
      <c r="D1741" s="52"/>
      <c r="E1741" s="10"/>
      <c r="F1741" s="5"/>
      <c r="G1741" s="5"/>
    </row>
    <row r="1742" spans="1:7" s="56" customFormat="1" x14ac:dyDescent="0.2">
      <c r="A1742" s="40"/>
      <c r="B1742" s="3"/>
      <c r="C1742" s="27"/>
      <c r="D1742" s="52"/>
      <c r="E1742" s="10"/>
      <c r="F1742" s="5"/>
      <c r="G1742" s="5"/>
    </row>
    <row r="1743" spans="1:7" s="56" customFormat="1" x14ac:dyDescent="0.2">
      <c r="A1743" s="40"/>
      <c r="B1743" s="3"/>
      <c r="C1743" s="27"/>
      <c r="D1743" s="52"/>
      <c r="E1743" s="10"/>
      <c r="F1743" s="5"/>
      <c r="G1743" s="5"/>
    </row>
    <row r="1744" spans="1:7" s="56" customFormat="1" x14ac:dyDescent="0.2">
      <c r="A1744" s="40"/>
      <c r="B1744" s="3"/>
      <c r="C1744" s="27"/>
      <c r="D1744" s="52"/>
      <c r="E1744" s="10"/>
      <c r="F1744" s="5"/>
      <c r="G1744" s="5"/>
    </row>
    <row r="1745" spans="1:7" s="56" customFormat="1" x14ac:dyDescent="0.2">
      <c r="A1745" s="40"/>
      <c r="B1745" s="3"/>
      <c r="C1745" s="27"/>
      <c r="D1745" s="52"/>
      <c r="E1745" s="10"/>
      <c r="F1745" s="5"/>
      <c r="G1745" s="5"/>
    </row>
    <row r="1746" spans="1:7" s="56" customFormat="1" x14ac:dyDescent="0.2">
      <c r="A1746" s="40"/>
      <c r="B1746" s="3"/>
      <c r="C1746" s="27"/>
      <c r="D1746" s="52"/>
      <c r="E1746" s="10"/>
      <c r="F1746" s="5"/>
      <c r="G1746" s="5"/>
    </row>
    <row r="1747" spans="1:7" s="56" customFormat="1" x14ac:dyDescent="0.2">
      <c r="A1747" s="40"/>
      <c r="B1747" s="3"/>
      <c r="C1747" s="27"/>
      <c r="D1747" s="52"/>
      <c r="E1747" s="10"/>
      <c r="F1747" s="5"/>
      <c r="G1747" s="5"/>
    </row>
    <row r="1748" spans="1:7" s="56" customFormat="1" x14ac:dyDescent="0.2">
      <c r="A1748" s="40"/>
      <c r="B1748" s="3"/>
      <c r="C1748" s="27"/>
      <c r="D1748" s="52"/>
      <c r="E1748" s="10"/>
      <c r="F1748" s="5"/>
      <c r="G1748" s="5"/>
    </row>
    <row r="1749" spans="1:7" s="56" customFormat="1" x14ac:dyDescent="0.2">
      <c r="A1749" s="40"/>
      <c r="B1749" s="3"/>
      <c r="C1749" s="27"/>
      <c r="D1749" s="52"/>
      <c r="E1749" s="10"/>
      <c r="F1749" s="5"/>
      <c r="G1749" s="5"/>
    </row>
    <row r="1750" spans="1:7" s="56" customFormat="1" x14ac:dyDescent="0.2">
      <c r="A1750" s="40"/>
      <c r="B1750" s="3"/>
      <c r="C1750" s="27"/>
      <c r="D1750" s="52"/>
      <c r="E1750" s="10"/>
      <c r="F1750" s="5"/>
      <c r="G1750" s="5"/>
    </row>
    <row r="1751" spans="1:7" s="56" customFormat="1" x14ac:dyDescent="0.2">
      <c r="A1751" s="40"/>
      <c r="B1751" s="3"/>
      <c r="C1751" s="27"/>
      <c r="D1751" s="52"/>
      <c r="E1751" s="10"/>
      <c r="F1751" s="5"/>
      <c r="G1751" s="5"/>
    </row>
    <row r="1752" spans="1:7" s="56" customFormat="1" x14ac:dyDescent="0.2">
      <c r="A1752" s="40"/>
      <c r="B1752" s="3"/>
      <c r="C1752" s="27"/>
      <c r="D1752" s="52"/>
      <c r="E1752" s="10"/>
      <c r="F1752" s="5"/>
      <c r="G1752" s="5"/>
    </row>
    <row r="1753" spans="1:7" s="56" customFormat="1" x14ac:dyDescent="0.2">
      <c r="A1753" s="40"/>
      <c r="B1753" s="3"/>
      <c r="C1753" s="27"/>
      <c r="D1753" s="52"/>
      <c r="E1753" s="10"/>
      <c r="F1753" s="5"/>
      <c r="G1753" s="5"/>
    </row>
    <row r="1754" spans="1:7" s="56" customFormat="1" x14ac:dyDescent="0.2">
      <c r="A1754" s="40"/>
      <c r="B1754" s="3"/>
      <c r="C1754" s="27"/>
      <c r="D1754" s="52"/>
      <c r="E1754" s="10"/>
      <c r="F1754" s="5"/>
      <c r="G1754" s="5"/>
    </row>
    <row r="1755" spans="1:7" s="56" customFormat="1" x14ac:dyDescent="0.2">
      <c r="A1755" s="40"/>
      <c r="B1755" s="3"/>
      <c r="C1755" s="27"/>
      <c r="D1755" s="52"/>
      <c r="E1755" s="10"/>
      <c r="F1755" s="5"/>
      <c r="G1755" s="5"/>
    </row>
    <row r="1756" spans="1:7" s="56" customFormat="1" x14ac:dyDescent="0.2">
      <c r="A1756" s="40"/>
      <c r="B1756" s="3"/>
      <c r="C1756" s="27"/>
      <c r="D1756" s="52"/>
      <c r="E1756" s="10"/>
      <c r="F1756" s="5"/>
      <c r="G1756" s="5"/>
    </row>
    <row r="1757" spans="1:7" s="56" customFormat="1" x14ac:dyDescent="0.2">
      <c r="A1757" s="40"/>
      <c r="B1757" s="3"/>
      <c r="C1757" s="27"/>
      <c r="D1757" s="52"/>
      <c r="E1757" s="10"/>
      <c r="F1757" s="5"/>
      <c r="G1757" s="5"/>
    </row>
    <row r="1758" spans="1:7" s="56" customFormat="1" x14ac:dyDescent="0.2">
      <c r="A1758" s="40"/>
      <c r="B1758" s="3"/>
      <c r="C1758" s="27"/>
      <c r="D1758" s="52"/>
      <c r="E1758" s="10"/>
      <c r="F1758" s="5"/>
      <c r="G1758" s="5"/>
    </row>
    <row r="1759" spans="1:7" s="56" customFormat="1" x14ac:dyDescent="0.2">
      <c r="A1759" s="40"/>
      <c r="B1759" s="3"/>
      <c r="C1759" s="27"/>
      <c r="D1759" s="52"/>
      <c r="E1759" s="10"/>
      <c r="F1759" s="5"/>
      <c r="G1759" s="5"/>
    </row>
    <row r="1760" spans="1:7" s="56" customFormat="1" x14ac:dyDescent="0.2">
      <c r="A1760" s="40"/>
      <c r="B1760" s="3"/>
      <c r="C1760" s="27"/>
      <c r="D1760" s="52"/>
      <c r="E1760" s="10"/>
      <c r="F1760" s="5"/>
      <c r="G1760" s="5"/>
    </row>
    <row r="1761" spans="1:7" s="56" customFormat="1" x14ac:dyDescent="0.2">
      <c r="A1761" s="40"/>
      <c r="B1761" s="3"/>
      <c r="C1761" s="27"/>
      <c r="D1761" s="52"/>
      <c r="E1761" s="10"/>
      <c r="F1761" s="5"/>
      <c r="G1761" s="5"/>
    </row>
    <row r="1762" spans="1:7" s="56" customFormat="1" x14ac:dyDescent="0.2">
      <c r="A1762" s="40"/>
      <c r="B1762" s="3"/>
      <c r="C1762" s="27"/>
      <c r="D1762" s="52"/>
      <c r="E1762" s="10"/>
      <c r="F1762" s="5"/>
      <c r="G1762" s="5"/>
    </row>
    <row r="1763" spans="1:7" s="56" customFormat="1" x14ac:dyDescent="0.2">
      <c r="A1763" s="40"/>
      <c r="B1763" s="3"/>
      <c r="C1763" s="27"/>
      <c r="D1763" s="52"/>
      <c r="E1763" s="10"/>
      <c r="F1763" s="5"/>
      <c r="G1763" s="5"/>
    </row>
    <row r="1764" spans="1:7" s="56" customFormat="1" x14ac:dyDescent="0.2">
      <c r="A1764" s="40"/>
      <c r="B1764" s="3"/>
      <c r="C1764" s="27"/>
      <c r="D1764" s="52"/>
      <c r="E1764" s="10"/>
      <c r="F1764" s="5"/>
      <c r="G1764" s="5"/>
    </row>
    <row r="1765" spans="1:7" s="56" customFormat="1" x14ac:dyDescent="0.2">
      <c r="A1765" s="40"/>
      <c r="B1765" s="3"/>
      <c r="C1765" s="27"/>
      <c r="D1765" s="52"/>
      <c r="E1765" s="10"/>
      <c r="F1765" s="5"/>
      <c r="G1765" s="5"/>
    </row>
    <row r="1766" spans="1:7" s="56" customFormat="1" x14ac:dyDescent="0.2">
      <c r="A1766" s="40"/>
      <c r="B1766" s="3"/>
      <c r="C1766" s="27"/>
      <c r="D1766" s="52"/>
      <c r="E1766" s="10"/>
      <c r="F1766" s="5"/>
      <c r="G1766" s="5"/>
    </row>
    <row r="1767" spans="1:7" s="56" customFormat="1" x14ac:dyDescent="0.2">
      <c r="A1767" s="40"/>
      <c r="B1767" s="3"/>
      <c r="C1767" s="27"/>
      <c r="D1767" s="52"/>
      <c r="E1767" s="10"/>
      <c r="F1767" s="5"/>
      <c r="G1767" s="5"/>
    </row>
    <row r="1768" spans="1:7" s="56" customFormat="1" x14ac:dyDescent="0.2">
      <c r="A1768" s="40"/>
      <c r="B1768" s="3"/>
      <c r="C1768" s="27"/>
      <c r="D1768" s="52"/>
      <c r="E1768" s="10"/>
      <c r="F1768" s="5"/>
      <c r="G1768" s="5"/>
    </row>
    <row r="1769" spans="1:7" s="56" customFormat="1" x14ac:dyDescent="0.2">
      <c r="A1769" s="40"/>
      <c r="B1769" s="3"/>
      <c r="C1769" s="27"/>
      <c r="D1769" s="52"/>
      <c r="E1769" s="10"/>
      <c r="F1769" s="5"/>
      <c r="G1769" s="5"/>
    </row>
    <row r="1770" spans="1:7" s="56" customFormat="1" x14ac:dyDescent="0.2">
      <c r="A1770" s="40"/>
      <c r="B1770" s="3"/>
      <c r="C1770" s="27"/>
      <c r="D1770" s="52"/>
      <c r="E1770" s="10"/>
      <c r="F1770" s="5"/>
      <c r="G1770" s="5"/>
    </row>
    <row r="1771" spans="1:7" s="56" customFormat="1" x14ac:dyDescent="0.2">
      <c r="A1771" s="40"/>
      <c r="B1771" s="3"/>
      <c r="C1771" s="27"/>
      <c r="D1771" s="52"/>
      <c r="E1771" s="10"/>
      <c r="F1771" s="5"/>
      <c r="G1771" s="5"/>
    </row>
    <row r="1772" spans="1:7" s="56" customFormat="1" x14ac:dyDescent="0.2">
      <c r="A1772" s="40"/>
      <c r="B1772" s="3"/>
      <c r="C1772" s="27"/>
      <c r="D1772" s="52"/>
      <c r="E1772" s="10"/>
      <c r="F1772" s="5"/>
      <c r="G1772" s="5"/>
    </row>
    <row r="1773" spans="1:7" s="56" customFormat="1" x14ac:dyDescent="0.2">
      <c r="A1773" s="40"/>
      <c r="B1773" s="3"/>
      <c r="C1773" s="27"/>
      <c r="D1773" s="52"/>
      <c r="E1773" s="10"/>
      <c r="F1773" s="5"/>
      <c r="G1773" s="5"/>
    </row>
    <row r="1774" spans="1:7" s="56" customFormat="1" x14ac:dyDescent="0.2">
      <c r="A1774" s="40"/>
      <c r="B1774" s="3"/>
      <c r="C1774" s="27"/>
      <c r="D1774" s="52"/>
      <c r="E1774" s="10"/>
      <c r="F1774" s="5"/>
      <c r="G1774" s="5"/>
    </row>
    <row r="1775" spans="1:7" s="56" customFormat="1" x14ac:dyDescent="0.2">
      <c r="A1775" s="40"/>
      <c r="B1775" s="3"/>
      <c r="C1775" s="27"/>
      <c r="D1775" s="52"/>
      <c r="E1775" s="10"/>
      <c r="F1775" s="5"/>
      <c r="G1775" s="5"/>
    </row>
    <row r="1776" spans="1:7" s="56" customFormat="1" x14ac:dyDescent="0.2">
      <c r="A1776" s="40"/>
      <c r="B1776" s="3"/>
      <c r="C1776" s="27"/>
      <c r="D1776" s="52"/>
      <c r="E1776" s="10"/>
      <c r="F1776" s="5"/>
      <c r="G1776" s="5"/>
    </row>
    <row r="1777" spans="1:7" s="56" customFormat="1" x14ac:dyDescent="0.2">
      <c r="A1777" s="40"/>
      <c r="B1777" s="3"/>
      <c r="C1777" s="27"/>
      <c r="D1777" s="52"/>
      <c r="E1777" s="10"/>
      <c r="F1777" s="5"/>
      <c r="G1777" s="5"/>
    </row>
    <row r="1778" spans="1:7" s="56" customFormat="1" x14ac:dyDescent="0.2">
      <c r="A1778" s="40"/>
      <c r="B1778" s="3"/>
      <c r="C1778" s="27"/>
      <c r="D1778" s="52"/>
      <c r="E1778" s="10"/>
      <c r="F1778" s="5"/>
      <c r="G1778" s="5"/>
    </row>
    <row r="1779" spans="1:7" s="56" customFormat="1" x14ac:dyDescent="0.2">
      <c r="A1779" s="40"/>
      <c r="B1779" s="3"/>
      <c r="C1779" s="27"/>
      <c r="D1779" s="52"/>
      <c r="E1779" s="10"/>
      <c r="F1779" s="5"/>
      <c r="G1779" s="5"/>
    </row>
    <row r="1780" spans="1:7" s="56" customFormat="1" x14ac:dyDescent="0.2">
      <c r="A1780" s="40"/>
      <c r="B1780" s="3"/>
      <c r="C1780" s="27"/>
      <c r="D1780" s="52"/>
      <c r="E1780" s="10"/>
      <c r="F1780" s="5"/>
      <c r="G1780" s="5"/>
    </row>
    <row r="1781" spans="1:7" s="56" customFormat="1" x14ac:dyDescent="0.2">
      <c r="A1781" s="40"/>
      <c r="B1781" s="3"/>
      <c r="C1781" s="27"/>
      <c r="D1781" s="52"/>
      <c r="E1781" s="10"/>
      <c r="F1781" s="5"/>
      <c r="G1781" s="5"/>
    </row>
    <row r="1782" spans="1:7" s="56" customFormat="1" x14ac:dyDescent="0.2">
      <c r="A1782" s="40"/>
      <c r="B1782" s="3"/>
      <c r="C1782" s="27"/>
      <c r="D1782" s="52"/>
      <c r="E1782" s="10"/>
      <c r="F1782" s="5"/>
      <c r="G1782" s="5"/>
    </row>
    <row r="1783" spans="1:7" s="56" customFormat="1" x14ac:dyDescent="0.2">
      <c r="A1783" s="40"/>
      <c r="B1783" s="3"/>
      <c r="C1783" s="27"/>
      <c r="D1783" s="52"/>
      <c r="E1783" s="10"/>
      <c r="F1783" s="5"/>
      <c r="G1783" s="5"/>
    </row>
    <row r="1784" spans="1:7" s="56" customFormat="1" x14ac:dyDescent="0.2">
      <c r="A1784" s="40"/>
      <c r="B1784" s="3"/>
      <c r="C1784" s="27"/>
      <c r="D1784" s="52"/>
      <c r="E1784" s="10"/>
      <c r="F1784" s="5"/>
      <c r="G1784" s="5"/>
    </row>
    <row r="1785" spans="1:7" s="56" customFormat="1" x14ac:dyDescent="0.2">
      <c r="A1785" s="40"/>
      <c r="B1785" s="3"/>
      <c r="C1785" s="27"/>
      <c r="D1785" s="52"/>
      <c r="E1785" s="10"/>
      <c r="F1785" s="5"/>
      <c r="G1785" s="5"/>
    </row>
    <row r="1786" spans="1:7" s="56" customFormat="1" x14ac:dyDescent="0.2">
      <c r="A1786" s="40"/>
      <c r="B1786" s="3"/>
      <c r="C1786" s="27"/>
      <c r="D1786" s="52"/>
      <c r="E1786" s="10"/>
      <c r="F1786" s="5"/>
      <c r="G1786" s="5"/>
    </row>
    <row r="1787" spans="1:7" s="56" customFormat="1" x14ac:dyDescent="0.2">
      <c r="A1787" s="40"/>
      <c r="B1787" s="3"/>
      <c r="C1787" s="27"/>
      <c r="D1787" s="52"/>
      <c r="E1787" s="10"/>
      <c r="F1787" s="5"/>
      <c r="G1787" s="5"/>
    </row>
    <row r="1788" spans="1:7" s="56" customFormat="1" x14ac:dyDescent="0.2">
      <c r="A1788" s="40"/>
      <c r="B1788" s="3"/>
      <c r="C1788" s="27"/>
      <c r="D1788" s="52"/>
      <c r="E1788" s="10"/>
      <c r="F1788" s="5"/>
      <c r="G1788" s="5"/>
    </row>
    <row r="1789" spans="1:7" s="56" customFormat="1" x14ac:dyDescent="0.2">
      <c r="A1789" s="40"/>
      <c r="B1789" s="3"/>
      <c r="C1789" s="27"/>
      <c r="D1789" s="52"/>
      <c r="E1789" s="10"/>
      <c r="F1789" s="5"/>
      <c r="G1789" s="5"/>
    </row>
    <row r="1790" spans="1:7" s="56" customFormat="1" x14ac:dyDescent="0.2">
      <c r="A1790" s="40"/>
      <c r="B1790" s="3"/>
      <c r="C1790" s="27"/>
      <c r="D1790" s="52"/>
      <c r="E1790" s="10"/>
      <c r="F1790" s="5"/>
      <c r="G1790" s="5"/>
    </row>
    <row r="1791" spans="1:7" s="56" customFormat="1" x14ac:dyDescent="0.2">
      <c r="A1791" s="40"/>
      <c r="B1791" s="3"/>
      <c r="C1791" s="27"/>
      <c r="D1791" s="52"/>
      <c r="E1791" s="10"/>
      <c r="F1791" s="5"/>
      <c r="G1791" s="5"/>
    </row>
    <row r="1792" spans="1:7" s="56" customFormat="1" x14ac:dyDescent="0.2">
      <c r="A1792" s="40"/>
      <c r="B1792" s="3"/>
      <c r="C1792" s="27"/>
      <c r="D1792" s="52"/>
      <c r="E1792" s="10"/>
      <c r="F1792" s="5"/>
      <c r="G1792" s="5"/>
    </row>
    <row r="1793" spans="1:7" s="56" customFormat="1" x14ac:dyDescent="0.2">
      <c r="A1793" s="40"/>
      <c r="B1793" s="3"/>
      <c r="C1793" s="27"/>
      <c r="D1793" s="52"/>
      <c r="E1793" s="10"/>
      <c r="F1793" s="5"/>
      <c r="G1793" s="5"/>
    </row>
    <row r="1794" spans="1:7" s="56" customFormat="1" x14ac:dyDescent="0.2">
      <c r="A1794" s="40"/>
      <c r="B1794" s="3"/>
      <c r="C1794" s="27"/>
      <c r="D1794" s="52"/>
      <c r="E1794" s="10"/>
      <c r="F1794" s="5"/>
      <c r="G1794" s="5"/>
    </row>
    <row r="1795" spans="1:7" s="56" customFormat="1" x14ac:dyDescent="0.2">
      <c r="A1795" s="40"/>
      <c r="B1795" s="3"/>
      <c r="C1795" s="27"/>
      <c r="D1795" s="52"/>
      <c r="E1795" s="10"/>
      <c r="F1795" s="5"/>
      <c r="G1795" s="5"/>
    </row>
    <row r="1796" spans="1:7" s="56" customFormat="1" x14ac:dyDescent="0.2">
      <c r="A1796" s="40"/>
      <c r="B1796" s="3"/>
      <c r="C1796" s="27"/>
      <c r="D1796" s="52"/>
      <c r="E1796" s="10"/>
      <c r="F1796" s="5"/>
      <c r="G1796" s="5"/>
    </row>
    <row r="1797" spans="1:7" s="56" customFormat="1" x14ac:dyDescent="0.2">
      <c r="A1797" s="40"/>
      <c r="B1797" s="3"/>
      <c r="C1797" s="27"/>
      <c r="D1797" s="52"/>
      <c r="E1797" s="10"/>
      <c r="F1797" s="5"/>
      <c r="G1797" s="5"/>
    </row>
    <row r="1798" spans="1:7" s="56" customFormat="1" x14ac:dyDescent="0.2">
      <c r="A1798" s="40"/>
      <c r="B1798" s="3"/>
      <c r="C1798" s="27"/>
      <c r="D1798" s="52"/>
      <c r="E1798" s="10"/>
      <c r="F1798" s="5"/>
      <c r="G1798" s="5"/>
    </row>
    <row r="1799" spans="1:7" s="56" customFormat="1" x14ac:dyDescent="0.2">
      <c r="A1799" s="40"/>
      <c r="B1799" s="3"/>
      <c r="C1799" s="27"/>
      <c r="D1799" s="52"/>
      <c r="E1799" s="10"/>
      <c r="F1799" s="5"/>
      <c r="G1799" s="5"/>
    </row>
    <row r="1800" spans="1:7" s="56" customFormat="1" x14ac:dyDescent="0.2">
      <c r="A1800" s="40"/>
      <c r="B1800" s="3"/>
      <c r="C1800" s="27"/>
      <c r="D1800" s="52"/>
      <c r="E1800" s="10"/>
      <c r="F1800" s="5"/>
      <c r="G1800" s="5"/>
    </row>
    <row r="1801" spans="1:7" s="56" customFormat="1" x14ac:dyDescent="0.2">
      <c r="A1801" s="40"/>
      <c r="B1801" s="3"/>
      <c r="C1801" s="27"/>
      <c r="D1801" s="52"/>
      <c r="E1801" s="10"/>
      <c r="F1801" s="5"/>
      <c r="G1801" s="5"/>
    </row>
    <row r="1802" spans="1:7" s="56" customFormat="1" x14ac:dyDescent="0.2">
      <c r="A1802" s="40"/>
      <c r="B1802" s="3"/>
      <c r="C1802" s="27"/>
      <c r="D1802" s="52"/>
      <c r="E1802" s="10"/>
      <c r="F1802" s="5"/>
      <c r="G1802" s="5"/>
    </row>
    <row r="1803" spans="1:7" s="56" customFormat="1" x14ac:dyDescent="0.2">
      <c r="A1803" s="40"/>
      <c r="B1803" s="3"/>
      <c r="C1803" s="27"/>
      <c r="D1803" s="52"/>
      <c r="E1803" s="10"/>
      <c r="F1803" s="5"/>
      <c r="G1803" s="5"/>
    </row>
    <row r="1804" spans="1:7" s="56" customFormat="1" x14ac:dyDescent="0.2">
      <c r="A1804" s="40"/>
      <c r="B1804" s="3"/>
      <c r="C1804" s="27"/>
      <c r="D1804" s="52"/>
      <c r="E1804" s="10"/>
      <c r="F1804" s="5"/>
      <c r="G1804" s="5"/>
    </row>
    <row r="1805" spans="1:7" s="56" customFormat="1" x14ac:dyDescent="0.2">
      <c r="A1805" s="40"/>
      <c r="B1805" s="3"/>
      <c r="C1805" s="27"/>
      <c r="D1805" s="52"/>
      <c r="E1805" s="10"/>
      <c r="F1805" s="5"/>
      <c r="G1805" s="5"/>
    </row>
    <row r="1806" spans="1:7" s="56" customFormat="1" x14ac:dyDescent="0.2">
      <c r="A1806" s="40"/>
      <c r="B1806" s="3"/>
      <c r="C1806" s="27"/>
      <c r="D1806" s="52"/>
      <c r="E1806" s="10"/>
      <c r="F1806" s="5"/>
      <c r="G1806" s="5"/>
    </row>
    <row r="1807" spans="1:7" s="56" customFormat="1" x14ac:dyDescent="0.2">
      <c r="A1807" s="40"/>
      <c r="B1807" s="3"/>
      <c r="C1807" s="27"/>
      <c r="D1807" s="52"/>
      <c r="E1807" s="10"/>
      <c r="F1807" s="5"/>
      <c r="G1807" s="5"/>
    </row>
    <row r="1808" spans="1:7" s="56" customFormat="1" x14ac:dyDescent="0.2">
      <c r="A1808" s="40"/>
      <c r="B1808" s="3"/>
      <c r="C1808" s="27"/>
      <c r="D1808" s="52"/>
      <c r="E1808" s="10"/>
      <c r="F1808" s="5"/>
      <c r="G1808" s="5"/>
    </row>
    <row r="1809" spans="1:7" s="56" customFormat="1" x14ac:dyDescent="0.2">
      <c r="A1809" s="40"/>
      <c r="B1809" s="3"/>
      <c r="C1809" s="27"/>
      <c r="D1809" s="52"/>
      <c r="E1809" s="10"/>
      <c r="F1809" s="5"/>
      <c r="G1809" s="5"/>
    </row>
    <row r="1810" spans="1:7" s="56" customFormat="1" x14ac:dyDescent="0.2">
      <c r="A1810" s="40"/>
      <c r="B1810" s="3"/>
      <c r="C1810" s="27"/>
      <c r="D1810" s="52"/>
      <c r="E1810" s="10"/>
      <c r="F1810" s="5"/>
      <c r="G1810" s="5"/>
    </row>
    <row r="1811" spans="1:7" s="56" customFormat="1" x14ac:dyDescent="0.2">
      <c r="A1811" s="40"/>
      <c r="B1811" s="3"/>
      <c r="C1811" s="27"/>
      <c r="D1811" s="52"/>
      <c r="E1811" s="10"/>
      <c r="F1811" s="5"/>
      <c r="G1811" s="5"/>
    </row>
    <row r="1812" spans="1:7" s="56" customFormat="1" x14ac:dyDescent="0.2">
      <c r="A1812" s="40"/>
      <c r="B1812" s="3"/>
      <c r="C1812" s="27"/>
      <c r="D1812" s="52"/>
      <c r="E1812" s="10"/>
      <c r="F1812" s="5"/>
      <c r="G1812" s="5"/>
    </row>
    <row r="1813" spans="1:7" s="56" customFormat="1" x14ac:dyDescent="0.2">
      <c r="A1813" s="40"/>
      <c r="B1813" s="3"/>
      <c r="C1813" s="27"/>
      <c r="D1813" s="52"/>
      <c r="E1813" s="10"/>
      <c r="F1813" s="5"/>
      <c r="G1813" s="5"/>
    </row>
    <row r="1814" spans="1:7" s="56" customFormat="1" x14ac:dyDescent="0.2">
      <c r="A1814" s="40"/>
      <c r="B1814" s="3"/>
      <c r="C1814" s="27"/>
      <c r="D1814" s="52"/>
      <c r="E1814" s="10"/>
      <c r="F1814" s="5"/>
      <c r="G1814" s="5"/>
    </row>
    <row r="1815" spans="1:7" s="56" customFormat="1" x14ac:dyDescent="0.2">
      <c r="A1815" s="40"/>
      <c r="B1815" s="3"/>
      <c r="C1815" s="27"/>
      <c r="D1815" s="52"/>
      <c r="E1815" s="10"/>
      <c r="F1815" s="5"/>
      <c r="G1815" s="5"/>
    </row>
    <row r="1816" spans="1:7" s="56" customFormat="1" x14ac:dyDescent="0.2">
      <c r="A1816" s="40"/>
      <c r="B1816" s="3"/>
      <c r="C1816" s="27"/>
      <c r="D1816" s="52"/>
      <c r="E1816" s="10"/>
      <c r="F1816" s="5"/>
      <c r="G1816" s="5"/>
    </row>
    <row r="1817" spans="1:7" s="56" customFormat="1" x14ac:dyDescent="0.2">
      <c r="A1817" s="40"/>
      <c r="B1817" s="3"/>
      <c r="C1817" s="27"/>
      <c r="D1817" s="52"/>
      <c r="E1817" s="10"/>
      <c r="F1817" s="5"/>
      <c r="G1817" s="5"/>
    </row>
    <row r="1818" spans="1:7" s="56" customFormat="1" x14ac:dyDescent="0.2">
      <c r="A1818" s="40"/>
      <c r="B1818" s="3"/>
      <c r="C1818" s="27"/>
      <c r="D1818" s="52"/>
      <c r="E1818" s="10"/>
      <c r="F1818" s="5"/>
      <c r="G1818" s="5"/>
    </row>
    <row r="1819" spans="1:7" s="56" customFormat="1" x14ac:dyDescent="0.2">
      <c r="A1819" s="40"/>
      <c r="B1819" s="3"/>
      <c r="C1819" s="27"/>
      <c r="D1819" s="52"/>
      <c r="E1819" s="10"/>
      <c r="F1819" s="5"/>
      <c r="G1819" s="5"/>
    </row>
    <row r="1820" spans="1:7" s="56" customFormat="1" x14ac:dyDescent="0.2">
      <c r="A1820" s="40"/>
      <c r="B1820" s="3"/>
      <c r="C1820" s="27"/>
      <c r="D1820" s="52"/>
      <c r="E1820" s="10"/>
      <c r="F1820" s="5"/>
      <c r="G1820" s="5"/>
    </row>
    <row r="1821" spans="1:7" s="56" customFormat="1" x14ac:dyDescent="0.2">
      <c r="A1821" s="40"/>
      <c r="B1821" s="3"/>
      <c r="C1821" s="27"/>
      <c r="D1821" s="52"/>
      <c r="E1821" s="10"/>
      <c r="F1821" s="5"/>
      <c r="G1821" s="5"/>
    </row>
    <row r="1822" spans="1:7" s="56" customFormat="1" x14ac:dyDescent="0.2">
      <c r="A1822" s="40"/>
      <c r="B1822" s="3"/>
      <c r="C1822" s="27"/>
      <c r="D1822" s="52"/>
      <c r="E1822" s="10"/>
      <c r="F1822" s="5"/>
      <c r="G1822" s="5"/>
    </row>
    <row r="1823" spans="1:7" s="56" customFormat="1" x14ac:dyDescent="0.2">
      <c r="A1823" s="40"/>
      <c r="B1823" s="3"/>
      <c r="C1823" s="27"/>
      <c r="D1823" s="52"/>
      <c r="E1823" s="10"/>
      <c r="F1823" s="5"/>
      <c r="G1823" s="5"/>
    </row>
    <row r="1824" spans="1:7" s="56" customFormat="1" x14ac:dyDescent="0.2">
      <c r="A1824" s="40"/>
      <c r="B1824" s="3"/>
      <c r="C1824" s="27"/>
      <c r="D1824" s="52"/>
      <c r="E1824" s="10"/>
      <c r="F1824" s="5"/>
      <c r="G1824" s="5"/>
    </row>
    <row r="1825" spans="1:7" s="56" customFormat="1" x14ac:dyDescent="0.2">
      <c r="A1825" s="40"/>
      <c r="B1825" s="3"/>
      <c r="C1825" s="27"/>
      <c r="D1825" s="52"/>
      <c r="E1825" s="10"/>
      <c r="F1825" s="5"/>
      <c r="G1825" s="5"/>
    </row>
    <row r="1826" spans="1:7" s="56" customFormat="1" x14ac:dyDescent="0.2">
      <c r="A1826" s="40"/>
      <c r="B1826" s="3"/>
      <c r="C1826" s="27"/>
      <c r="D1826" s="52"/>
      <c r="E1826" s="10"/>
      <c r="F1826" s="5"/>
      <c r="G1826" s="5"/>
    </row>
    <row r="1827" spans="1:7" s="56" customFormat="1" x14ac:dyDescent="0.2">
      <c r="A1827" s="40"/>
      <c r="B1827" s="3"/>
      <c r="C1827" s="27"/>
      <c r="D1827" s="52"/>
      <c r="E1827" s="10"/>
      <c r="F1827" s="5"/>
      <c r="G1827" s="5"/>
    </row>
    <row r="1828" spans="1:7" s="56" customFormat="1" x14ac:dyDescent="0.2">
      <c r="A1828" s="40"/>
      <c r="B1828" s="3"/>
      <c r="C1828" s="27"/>
      <c r="D1828" s="52"/>
      <c r="E1828" s="10"/>
      <c r="F1828" s="5"/>
      <c r="G1828" s="5"/>
    </row>
    <row r="1829" spans="1:7" s="56" customFormat="1" x14ac:dyDescent="0.2">
      <c r="A1829" s="40"/>
      <c r="B1829" s="3"/>
      <c r="C1829" s="27"/>
      <c r="D1829" s="52"/>
      <c r="E1829" s="10"/>
      <c r="F1829" s="5"/>
      <c r="G1829" s="5"/>
    </row>
    <row r="1830" spans="1:7" s="56" customFormat="1" x14ac:dyDescent="0.2">
      <c r="A1830" s="40"/>
      <c r="B1830" s="3"/>
      <c r="C1830" s="27"/>
      <c r="D1830" s="52"/>
      <c r="E1830" s="10"/>
      <c r="F1830" s="5"/>
      <c r="G1830" s="5"/>
    </row>
    <row r="1831" spans="1:7" s="56" customFormat="1" x14ac:dyDescent="0.2">
      <c r="A1831" s="40"/>
      <c r="B1831" s="3"/>
      <c r="C1831" s="27"/>
      <c r="D1831" s="52"/>
      <c r="E1831" s="10"/>
      <c r="F1831" s="5"/>
      <c r="G1831" s="5"/>
    </row>
    <row r="1832" spans="1:7" s="56" customFormat="1" x14ac:dyDescent="0.2">
      <c r="A1832" s="40"/>
      <c r="B1832" s="3"/>
      <c r="C1832" s="27"/>
      <c r="D1832" s="52"/>
      <c r="E1832" s="10"/>
      <c r="F1832" s="5"/>
      <c r="G1832" s="5"/>
    </row>
    <row r="1833" spans="1:7" s="56" customFormat="1" x14ac:dyDescent="0.2">
      <c r="A1833" s="40"/>
      <c r="B1833" s="3"/>
      <c r="C1833" s="27"/>
      <c r="D1833" s="52"/>
      <c r="E1833" s="10"/>
      <c r="F1833" s="5"/>
      <c r="G1833" s="5"/>
    </row>
    <row r="1834" spans="1:7" s="56" customFormat="1" x14ac:dyDescent="0.2">
      <c r="A1834" s="40"/>
      <c r="B1834" s="3"/>
      <c r="C1834" s="27"/>
      <c r="D1834" s="52"/>
      <c r="E1834" s="10"/>
      <c r="F1834" s="5"/>
      <c r="G1834" s="5"/>
    </row>
    <row r="1835" spans="1:7" s="56" customFormat="1" x14ac:dyDescent="0.2">
      <c r="A1835" s="40"/>
      <c r="B1835" s="3"/>
      <c r="C1835" s="27"/>
      <c r="D1835" s="52"/>
      <c r="E1835" s="10"/>
      <c r="F1835" s="5"/>
      <c r="G1835" s="5"/>
    </row>
    <row r="1836" spans="1:7" s="56" customFormat="1" x14ac:dyDescent="0.2">
      <c r="A1836" s="40"/>
      <c r="B1836" s="3"/>
      <c r="C1836" s="27"/>
      <c r="D1836" s="52"/>
      <c r="E1836" s="10"/>
      <c r="F1836" s="5"/>
      <c r="G1836" s="5"/>
    </row>
    <row r="1837" spans="1:7" s="56" customFormat="1" x14ac:dyDescent="0.2">
      <c r="A1837" s="40"/>
      <c r="B1837" s="3"/>
      <c r="C1837" s="27"/>
      <c r="D1837" s="52"/>
      <c r="E1837" s="10"/>
      <c r="F1837" s="5"/>
      <c r="G1837" s="5"/>
    </row>
    <row r="1838" spans="1:7" s="56" customFormat="1" x14ac:dyDescent="0.2">
      <c r="A1838" s="40"/>
      <c r="B1838" s="3"/>
      <c r="C1838" s="27"/>
      <c r="D1838" s="52"/>
      <c r="E1838" s="10"/>
      <c r="F1838" s="5"/>
      <c r="G1838" s="5"/>
    </row>
    <row r="1839" spans="1:7" s="56" customFormat="1" x14ac:dyDescent="0.2">
      <c r="A1839" s="40"/>
      <c r="B1839" s="3"/>
      <c r="C1839" s="27"/>
      <c r="D1839" s="52"/>
      <c r="E1839" s="10"/>
      <c r="F1839" s="5"/>
      <c r="G1839" s="5"/>
    </row>
    <row r="1840" spans="1:7" s="56" customFormat="1" x14ac:dyDescent="0.2">
      <c r="A1840" s="40"/>
      <c r="B1840" s="3"/>
      <c r="C1840" s="27"/>
      <c r="D1840" s="52"/>
      <c r="E1840" s="10"/>
      <c r="F1840" s="5"/>
      <c r="G1840" s="5"/>
    </row>
    <row r="1841" spans="1:7" s="56" customFormat="1" x14ac:dyDescent="0.2">
      <c r="A1841" s="40"/>
      <c r="B1841" s="3"/>
      <c r="C1841" s="27"/>
      <c r="D1841" s="52"/>
      <c r="E1841" s="10"/>
      <c r="F1841" s="5"/>
      <c r="G1841" s="5"/>
    </row>
    <row r="1842" spans="1:7" s="56" customFormat="1" x14ac:dyDescent="0.2">
      <c r="A1842" s="40"/>
      <c r="B1842" s="3"/>
      <c r="C1842" s="27"/>
      <c r="D1842" s="52"/>
      <c r="E1842" s="10"/>
      <c r="F1842" s="5"/>
      <c r="G1842" s="5"/>
    </row>
    <row r="1843" spans="1:7" s="56" customFormat="1" x14ac:dyDescent="0.2">
      <c r="A1843" s="40"/>
      <c r="B1843" s="3"/>
      <c r="C1843" s="27"/>
      <c r="D1843" s="52"/>
      <c r="E1843" s="10"/>
      <c r="F1843" s="5"/>
      <c r="G1843" s="5"/>
    </row>
    <row r="1844" spans="1:7" s="56" customFormat="1" x14ac:dyDescent="0.2">
      <c r="A1844" s="40"/>
      <c r="B1844" s="3"/>
      <c r="C1844" s="27"/>
      <c r="D1844" s="52"/>
      <c r="E1844" s="10"/>
      <c r="F1844" s="5"/>
      <c r="G1844" s="5"/>
    </row>
    <row r="1845" spans="1:7" s="56" customFormat="1" x14ac:dyDescent="0.2">
      <c r="A1845" s="40"/>
      <c r="B1845" s="3"/>
      <c r="C1845" s="27"/>
      <c r="D1845" s="52"/>
      <c r="E1845" s="10"/>
      <c r="F1845" s="5"/>
      <c r="G1845" s="5"/>
    </row>
    <row r="1846" spans="1:7" s="56" customFormat="1" x14ac:dyDescent="0.2">
      <c r="A1846" s="40"/>
      <c r="B1846" s="3"/>
      <c r="C1846" s="27"/>
      <c r="D1846" s="52"/>
      <c r="E1846" s="10"/>
      <c r="F1846" s="5"/>
      <c r="G1846" s="5"/>
    </row>
    <row r="1847" spans="1:7" s="56" customFormat="1" x14ac:dyDescent="0.2">
      <c r="A1847" s="40"/>
      <c r="B1847" s="3"/>
      <c r="C1847" s="27"/>
      <c r="D1847" s="52"/>
      <c r="E1847" s="10"/>
      <c r="F1847" s="5"/>
      <c r="G1847" s="5"/>
    </row>
    <row r="1848" spans="1:7" s="56" customFormat="1" x14ac:dyDescent="0.2">
      <c r="A1848" s="40"/>
      <c r="B1848" s="3"/>
      <c r="C1848" s="27"/>
      <c r="D1848" s="52"/>
      <c r="E1848" s="10"/>
      <c r="F1848" s="5"/>
      <c r="G1848" s="5"/>
    </row>
    <row r="1849" spans="1:7" s="56" customFormat="1" x14ac:dyDescent="0.2">
      <c r="A1849" s="40"/>
      <c r="B1849" s="3"/>
      <c r="C1849" s="27"/>
      <c r="D1849" s="52"/>
      <c r="E1849" s="10"/>
      <c r="F1849" s="5"/>
      <c r="G1849" s="5"/>
    </row>
    <row r="1850" spans="1:7" s="56" customFormat="1" x14ac:dyDescent="0.2">
      <c r="A1850" s="40"/>
      <c r="B1850" s="3"/>
      <c r="C1850" s="27"/>
      <c r="D1850" s="52"/>
      <c r="E1850" s="10"/>
      <c r="F1850" s="5"/>
      <c r="G1850" s="5"/>
    </row>
    <row r="1851" spans="1:7" s="56" customFormat="1" x14ac:dyDescent="0.2">
      <c r="A1851" s="40"/>
      <c r="B1851" s="3"/>
      <c r="C1851" s="27"/>
      <c r="D1851" s="52"/>
      <c r="E1851" s="10"/>
      <c r="F1851" s="5"/>
      <c r="G1851" s="5"/>
    </row>
    <row r="1852" spans="1:7" s="56" customFormat="1" x14ac:dyDescent="0.2">
      <c r="A1852" s="40"/>
      <c r="B1852" s="3"/>
      <c r="C1852" s="27"/>
      <c r="D1852" s="52"/>
      <c r="E1852" s="10"/>
      <c r="F1852" s="5"/>
      <c r="G1852" s="5"/>
    </row>
    <row r="1853" spans="1:7" s="56" customFormat="1" x14ac:dyDescent="0.2">
      <c r="A1853" s="40"/>
      <c r="B1853" s="3"/>
      <c r="C1853" s="27"/>
      <c r="D1853" s="52"/>
      <c r="E1853" s="10"/>
      <c r="F1853" s="5"/>
      <c r="G1853" s="5"/>
    </row>
    <row r="1854" spans="1:7" s="56" customFormat="1" x14ac:dyDescent="0.2">
      <c r="A1854" s="40"/>
      <c r="B1854" s="3"/>
      <c r="C1854" s="27"/>
      <c r="D1854" s="52"/>
      <c r="E1854" s="10"/>
      <c r="F1854" s="5"/>
      <c r="G1854" s="5"/>
    </row>
    <row r="1855" spans="1:7" s="56" customFormat="1" x14ac:dyDescent="0.2">
      <c r="A1855" s="40"/>
      <c r="B1855" s="3"/>
      <c r="C1855" s="27"/>
      <c r="D1855" s="52"/>
      <c r="E1855" s="10"/>
      <c r="F1855" s="5"/>
      <c r="G1855" s="5"/>
    </row>
    <row r="1856" spans="1:7" s="56" customFormat="1" x14ac:dyDescent="0.2">
      <c r="A1856" s="40"/>
      <c r="B1856" s="3"/>
      <c r="C1856" s="27"/>
      <c r="D1856" s="52"/>
      <c r="E1856" s="10"/>
      <c r="F1856" s="5"/>
      <c r="G1856" s="5"/>
    </row>
    <row r="1857" spans="1:7" s="56" customFormat="1" x14ac:dyDescent="0.2">
      <c r="A1857" s="40"/>
      <c r="B1857" s="3"/>
      <c r="C1857" s="27"/>
      <c r="D1857" s="52"/>
      <c r="E1857" s="10"/>
      <c r="F1857" s="5"/>
      <c r="G1857" s="5"/>
    </row>
    <row r="1858" spans="1:7" s="56" customFormat="1" x14ac:dyDescent="0.2">
      <c r="A1858" s="40"/>
      <c r="B1858" s="3"/>
      <c r="C1858" s="27"/>
      <c r="D1858" s="52"/>
      <c r="E1858" s="10"/>
      <c r="F1858" s="5"/>
      <c r="G1858" s="5"/>
    </row>
    <row r="1859" spans="1:7" s="56" customFormat="1" x14ac:dyDescent="0.2">
      <c r="A1859" s="40"/>
      <c r="B1859" s="3"/>
      <c r="C1859" s="27"/>
      <c r="D1859" s="52"/>
      <c r="E1859" s="10"/>
      <c r="F1859" s="5"/>
      <c r="G1859" s="5"/>
    </row>
    <row r="1860" spans="1:7" s="56" customFormat="1" x14ac:dyDescent="0.2">
      <c r="A1860" s="40"/>
      <c r="B1860" s="3"/>
      <c r="C1860" s="27"/>
      <c r="D1860" s="52"/>
      <c r="E1860" s="10"/>
      <c r="F1860" s="5"/>
      <c r="G1860" s="5"/>
    </row>
    <row r="1861" spans="1:7" s="56" customFormat="1" x14ac:dyDescent="0.2">
      <c r="A1861" s="40"/>
      <c r="B1861" s="3"/>
      <c r="C1861" s="27"/>
      <c r="D1861" s="52"/>
      <c r="E1861" s="10"/>
      <c r="F1861" s="5"/>
      <c r="G1861" s="5"/>
    </row>
    <row r="1862" spans="1:7" s="56" customFormat="1" x14ac:dyDescent="0.2">
      <c r="A1862" s="40"/>
      <c r="B1862" s="3"/>
      <c r="C1862" s="27"/>
      <c r="D1862" s="52"/>
      <c r="E1862" s="10"/>
      <c r="F1862" s="5"/>
      <c r="G1862" s="5"/>
    </row>
    <row r="1863" spans="1:7" s="56" customFormat="1" x14ac:dyDescent="0.2">
      <c r="A1863" s="40"/>
      <c r="B1863" s="3"/>
      <c r="C1863" s="27"/>
      <c r="D1863" s="52"/>
      <c r="E1863" s="10"/>
      <c r="F1863" s="5"/>
      <c r="G1863" s="5"/>
    </row>
    <row r="1864" spans="1:7" s="56" customFormat="1" x14ac:dyDescent="0.2">
      <c r="A1864" s="40"/>
      <c r="B1864" s="3"/>
      <c r="C1864" s="27"/>
      <c r="D1864" s="52"/>
      <c r="E1864" s="10"/>
      <c r="F1864" s="5"/>
      <c r="G1864" s="5"/>
    </row>
    <row r="1865" spans="1:7" s="56" customFormat="1" x14ac:dyDescent="0.2">
      <c r="A1865" s="40"/>
      <c r="B1865" s="3"/>
      <c r="C1865" s="27"/>
      <c r="D1865" s="52"/>
      <c r="E1865" s="10"/>
      <c r="F1865" s="5"/>
      <c r="G1865" s="5"/>
    </row>
    <row r="1866" spans="1:7" s="56" customFormat="1" x14ac:dyDescent="0.2">
      <c r="A1866" s="40"/>
      <c r="B1866" s="3"/>
      <c r="C1866" s="27"/>
      <c r="D1866" s="52"/>
      <c r="E1866" s="10"/>
      <c r="F1866" s="5"/>
      <c r="G1866" s="5"/>
    </row>
    <row r="1867" spans="1:7" s="56" customFormat="1" x14ac:dyDescent="0.2">
      <c r="A1867" s="40"/>
      <c r="B1867" s="3"/>
      <c r="C1867" s="27"/>
      <c r="D1867" s="52"/>
      <c r="E1867" s="10"/>
      <c r="F1867" s="5"/>
      <c r="G1867" s="5"/>
    </row>
    <row r="1868" spans="1:7" s="56" customFormat="1" x14ac:dyDescent="0.2">
      <c r="A1868" s="40"/>
      <c r="B1868" s="3"/>
      <c r="C1868" s="27"/>
      <c r="D1868" s="52"/>
      <c r="E1868" s="10"/>
      <c r="F1868" s="5"/>
      <c r="G1868" s="5"/>
    </row>
    <row r="1869" spans="1:7" s="56" customFormat="1" x14ac:dyDescent="0.2">
      <c r="A1869" s="40"/>
      <c r="B1869" s="3"/>
      <c r="C1869" s="27"/>
      <c r="D1869" s="52"/>
      <c r="E1869" s="10"/>
      <c r="F1869" s="5"/>
      <c r="G1869" s="5"/>
    </row>
    <row r="1870" spans="1:7" s="56" customFormat="1" x14ac:dyDescent="0.2">
      <c r="A1870" s="40"/>
      <c r="B1870" s="3"/>
      <c r="C1870" s="27"/>
      <c r="D1870" s="52"/>
      <c r="E1870" s="10"/>
      <c r="F1870" s="5"/>
      <c r="G1870" s="5"/>
    </row>
    <row r="1871" spans="1:7" s="56" customFormat="1" x14ac:dyDescent="0.2">
      <c r="A1871" s="40"/>
      <c r="B1871" s="3"/>
      <c r="C1871" s="27"/>
      <c r="D1871" s="52"/>
      <c r="E1871" s="10"/>
      <c r="F1871" s="5"/>
      <c r="G1871" s="5"/>
    </row>
    <row r="1872" spans="1:7" s="56" customFormat="1" x14ac:dyDescent="0.2">
      <c r="A1872" s="40"/>
      <c r="B1872" s="3"/>
      <c r="C1872" s="27"/>
      <c r="D1872" s="52"/>
      <c r="E1872" s="10"/>
      <c r="F1872" s="5"/>
      <c r="G1872" s="5"/>
    </row>
    <row r="1873" spans="1:7" s="56" customFormat="1" x14ac:dyDescent="0.2">
      <c r="A1873" s="40"/>
      <c r="B1873" s="3"/>
      <c r="C1873" s="27"/>
      <c r="D1873" s="52"/>
      <c r="E1873" s="10"/>
      <c r="F1873" s="5"/>
      <c r="G1873" s="5"/>
    </row>
    <row r="1874" spans="1:7" s="56" customFormat="1" x14ac:dyDescent="0.2">
      <c r="A1874" s="40"/>
      <c r="B1874" s="3"/>
      <c r="C1874" s="27"/>
      <c r="D1874" s="52"/>
      <c r="E1874" s="10"/>
      <c r="F1874" s="5"/>
      <c r="G1874" s="5"/>
    </row>
    <row r="1875" spans="1:7" s="56" customFormat="1" x14ac:dyDescent="0.2">
      <c r="A1875" s="40"/>
      <c r="B1875" s="3"/>
      <c r="C1875" s="27"/>
      <c r="D1875" s="52"/>
      <c r="E1875" s="10"/>
      <c r="F1875" s="5"/>
      <c r="G1875" s="5"/>
    </row>
    <row r="1876" spans="1:7" s="56" customFormat="1" x14ac:dyDescent="0.2">
      <c r="A1876" s="40"/>
      <c r="B1876" s="3"/>
      <c r="C1876" s="27"/>
      <c r="D1876" s="52"/>
      <c r="E1876" s="10"/>
      <c r="F1876" s="5"/>
      <c r="G1876" s="5"/>
    </row>
    <row r="1877" spans="1:7" s="56" customFormat="1" x14ac:dyDescent="0.2">
      <c r="A1877" s="40"/>
      <c r="B1877" s="3"/>
      <c r="C1877" s="27"/>
      <c r="D1877" s="52"/>
      <c r="E1877" s="10"/>
      <c r="F1877" s="5"/>
      <c r="G1877" s="5"/>
    </row>
    <row r="1878" spans="1:7" s="56" customFormat="1" x14ac:dyDescent="0.2">
      <c r="A1878" s="40"/>
      <c r="B1878" s="3"/>
      <c r="C1878" s="27"/>
      <c r="D1878" s="52"/>
      <c r="E1878" s="10"/>
      <c r="F1878" s="5"/>
      <c r="G1878" s="5"/>
    </row>
    <row r="1879" spans="1:7" s="56" customFormat="1" x14ac:dyDescent="0.2">
      <c r="A1879" s="40"/>
      <c r="B1879" s="3"/>
      <c r="C1879" s="27"/>
      <c r="D1879" s="52"/>
      <c r="E1879" s="10"/>
      <c r="F1879" s="5"/>
      <c r="G1879" s="5"/>
    </row>
    <row r="1880" spans="1:7" s="56" customFormat="1" x14ac:dyDescent="0.2">
      <c r="A1880" s="40"/>
      <c r="B1880" s="3"/>
      <c r="C1880" s="27"/>
      <c r="D1880" s="52"/>
      <c r="E1880" s="10"/>
      <c r="F1880" s="5"/>
      <c r="G1880" s="5"/>
    </row>
    <row r="1881" spans="1:7" s="56" customFormat="1" x14ac:dyDescent="0.2">
      <c r="A1881" s="40"/>
      <c r="B1881" s="3"/>
      <c r="C1881" s="27"/>
      <c r="D1881" s="52"/>
      <c r="E1881" s="10"/>
      <c r="F1881" s="5"/>
      <c r="G1881" s="5"/>
    </row>
    <row r="1882" spans="1:7" s="56" customFormat="1" x14ac:dyDescent="0.2">
      <c r="A1882" s="40"/>
      <c r="B1882" s="3"/>
      <c r="C1882" s="27"/>
      <c r="D1882" s="52"/>
      <c r="E1882" s="10"/>
      <c r="F1882" s="5"/>
      <c r="G1882" s="5"/>
    </row>
    <row r="1883" spans="1:7" s="56" customFormat="1" x14ac:dyDescent="0.2">
      <c r="A1883" s="40"/>
      <c r="B1883" s="3"/>
      <c r="C1883" s="27"/>
      <c r="D1883" s="52"/>
      <c r="E1883" s="10"/>
      <c r="F1883" s="5"/>
      <c r="G1883" s="5"/>
    </row>
    <row r="1884" spans="1:7" s="56" customFormat="1" x14ac:dyDescent="0.2">
      <c r="A1884" s="40"/>
      <c r="B1884" s="3"/>
      <c r="C1884" s="27"/>
      <c r="D1884" s="52"/>
      <c r="E1884" s="10"/>
      <c r="F1884" s="5"/>
      <c r="G1884" s="5"/>
    </row>
    <row r="1885" spans="1:7" s="56" customFormat="1" x14ac:dyDescent="0.2">
      <c r="A1885" s="40"/>
      <c r="B1885" s="3"/>
      <c r="C1885" s="27"/>
      <c r="D1885" s="52"/>
      <c r="E1885" s="10"/>
      <c r="F1885" s="5"/>
      <c r="G1885" s="5"/>
    </row>
    <row r="1886" spans="1:7" s="56" customFormat="1" x14ac:dyDescent="0.2">
      <c r="A1886" s="40"/>
      <c r="B1886" s="3"/>
      <c r="C1886" s="27"/>
      <c r="D1886" s="52"/>
      <c r="E1886" s="10"/>
      <c r="F1886" s="5"/>
      <c r="G1886" s="5"/>
    </row>
    <row r="1887" spans="1:7" s="56" customFormat="1" x14ac:dyDescent="0.2">
      <c r="A1887" s="40"/>
      <c r="B1887" s="3"/>
      <c r="C1887" s="27"/>
      <c r="D1887" s="52"/>
      <c r="E1887" s="10"/>
      <c r="F1887" s="5"/>
      <c r="G1887" s="5"/>
    </row>
    <row r="1888" spans="1:7" s="56" customFormat="1" x14ac:dyDescent="0.2">
      <c r="A1888" s="40"/>
      <c r="B1888" s="3"/>
      <c r="C1888" s="27"/>
      <c r="D1888" s="52"/>
      <c r="E1888" s="10"/>
      <c r="F1888" s="5"/>
      <c r="G1888" s="5"/>
    </row>
    <row r="1889" spans="1:7" s="56" customFormat="1" x14ac:dyDescent="0.2">
      <c r="A1889" s="40"/>
      <c r="B1889" s="3"/>
      <c r="C1889" s="27"/>
      <c r="D1889" s="52"/>
      <c r="E1889" s="10"/>
      <c r="F1889" s="5"/>
      <c r="G1889" s="5"/>
    </row>
    <row r="1890" spans="1:7" s="56" customFormat="1" x14ac:dyDescent="0.2">
      <c r="A1890" s="40"/>
      <c r="B1890" s="3"/>
      <c r="C1890" s="27"/>
      <c r="D1890" s="52"/>
      <c r="E1890" s="10"/>
      <c r="F1890" s="5"/>
      <c r="G1890" s="5"/>
    </row>
    <row r="1891" spans="1:7" s="56" customFormat="1" x14ac:dyDescent="0.2">
      <c r="A1891" s="40"/>
      <c r="B1891" s="3"/>
      <c r="C1891" s="27"/>
      <c r="D1891" s="52"/>
      <c r="E1891" s="10"/>
      <c r="F1891" s="5"/>
      <c r="G1891" s="5"/>
    </row>
    <row r="1892" spans="1:7" s="56" customFormat="1" x14ac:dyDescent="0.2">
      <c r="A1892" s="40"/>
      <c r="B1892" s="3"/>
      <c r="C1892" s="27"/>
      <c r="D1892" s="52"/>
      <c r="E1892" s="10"/>
      <c r="F1892" s="5"/>
      <c r="G1892" s="5"/>
    </row>
    <row r="1893" spans="1:7" s="56" customFormat="1" x14ac:dyDescent="0.2">
      <c r="A1893" s="40"/>
      <c r="B1893" s="3"/>
      <c r="C1893" s="27"/>
      <c r="D1893" s="52"/>
      <c r="E1893" s="10"/>
      <c r="F1893" s="5"/>
      <c r="G1893" s="5"/>
    </row>
    <row r="1894" spans="1:7" s="56" customFormat="1" x14ac:dyDescent="0.2">
      <c r="A1894" s="40"/>
      <c r="B1894" s="3"/>
      <c r="C1894" s="27"/>
      <c r="D1894" s="52"/>
      <c r="E1894" s="10"/>
      <c r="F1894" s="5"/>
      <c r="G1894" s="5"/>
    </row>
    <row r="1895" spans="1:7" s="56" customFormat="1" x14ac:dyDescent="0.2">
      <c r="A1895" s="40"/>
      <c r="B1895" s="3"/>
      <c r="C1895" s="27"/>
      <c r="D1895" s="52"/>
      <c r="E1895" s="10"/>
      <c r="F1895" s="5"/>
      <c r="G1895" s="5"/>
    </row>
    <row r="1896" spans="1:7" s="56" customFormat="1" x14ac:dyDescent="0.2">
      <c r="A1896" s="40"/>
      <c r="B1896" s="3"/>
      <c r="C1896" s="27"/>
      <c r="D1896" s="52"/>
      <c r="E1896" s="10"/>
      <c r="F1896" s="5"/>
      <c r="G1896" s="5"/>
    </row>
    <row r="1897" spans="1:7" s="56" customFormat="1" x14ac:dyDescent="0.2">
      <c r="A1897" s="40"/>
      <c r="B1897" s="3"/>
      <c r="C1897" s="27"/>
      <c r="D1897" s="52"/>
      <c r="E1897" s="10"/>
      <c r="F1897" s="5"/>
      <c r="G1897" s="5"/>
    </row>
    <row r="1898" spans="1:7" s="56" customFormat="1" x14ac:dyDescent="0.2">
      <c r="A1898" s="40"/>
      <c r="B1898" s="3"/>
      <c r="C1898" s="27"/>
      <c r="D1898" s="52"/>
      <c r="E1898" s="10"/>
      <c r="F1898" s="5"/>
      <c r="G1898" s="5"/>
    </row>
    <row r="1899" spans="1:7" s="56" customFormat="1" x14ac:dyDescent="0.2">
      <c r="A1899" s="40"/>
      <c r="B1899" s="3"/>
      <c r="C1899" s="27"/>
      <c r="D1899" s="52"/>
      <c r="E1899" s="10"/>
      <c r="F1899" s="5"/>
      <c r="G1899" s="5"/>
    </row>
    <row r="1900" spans="1:7" s="56" customFormat="1" x14ac:dyDescent="0.2">
      <c r="A1900" s="40"/>
      <c r="B1900" s="3"/>
      <c r="C1900" s="27"/>
      <c r="D1900" s="52"/>
      <c r="E1900" s="10"/>
      <c r="F1900" s="5"/>
      <c r="G1900" s="5"/>
    </row>
    <row r="1901" spans="1:7" s="56" customFormat="1" x14ac:dyDescent="0.2">
      <c r="A1901" s="40"/>
      <c r="B1901" s="3"/>
      <c r="C1901" s="27"/>
      <c r="D1901" s="52"/>
      <c r="E1901" s="10"/>
      <c r="F1901" s="5"/>
      <c r="G1901" s="5"/>
    </row>
    <row r="1902" spans="1:7" s="56" customFormat="1" x14ac:dyDescent="0.2">
      <c r="A1902" s="40"/>
      <c r="B1902" s="3"/>
      <c r="C1902" s="27"/>
      <c r="D1902" s="52"/>
      <c r="E1902" s="10"/>
      <c r="F1902" s="5"/>
      <c r="G1902" s="5"/>
    </row>
    <row r="1903" spans="1:7" s="56" customFormat="1" x14ac:dyDescent="0.2">
      <c r="A1903" s="40"/>
      <c r="B1903" s="3"/>
      <c r="C1903" s="27"/>
      <c r="D1903" s="52"/>
      <c r="E1903" s="10"/>
      <c r="F1903" s="5"/>
      <c r="G1903" s="5"/>
    </row>
    <row r="1904" spans="1:7" s="56" customFormat="1" x14ac:dyDescent="0.2">
      <c r="A1904" s="40"/>
      <c r="B1904" s="3"/>
      <c r="C1904" s="27"/>
      <c r="D1904" s="52"/>
      <c r="E1904" s="10"/>
      <c r="F1904" s="5"/>
      <c r="G1904" s="5"/>
    </row>
    <row r="1905" spans="1:7" s="56" customFormat="1" x14ac:dyDescent="0.2">
      <c r="A1905" s="40"/>
      <c r="B1905" s="3"/>
      <c r="C1905" s="27"/>
      <c r="D1905" s="52"/>
      <c r="E1905" s="10"/>
      <c r="F1905" s="5"/>
      <c r="G1905" s="5"/>
    </row>
    <row r="1906" spans="1:7" s="56" customFormat="1" x14ac:dyDescent="0.2">
      <c r="A1906" s="40"/>
      <c r="B1906" s="3"/>
      <c r="C1906" s="27"/>
      <c r="D1906" s="52"/>
      <c r="E1906" s="10"/>
      <c r="F1906" s="5"/>
      <c r="G1906" s="5"/>
    </row>
    <row r="1907" spans="1:7" s="56" customFormat="1" x14ac:dyDescent="0.2">
      <c r="A1907" s="40"/>
      <c r="B1907" s="3"/>
      <c r="C1907" s="27"/>
      <c r="D1907" s="52"/>
      <c r="E1907" s="10"/>
      <c r="F1907" s="5"/>
      <c r="G1907" s="5"/>
    </row>
    <row r="1908" spans="1:7" s="56" customFormat="1" x14ac:dyDescent="0.2">
      <c r="A1908" s="40"/>
      <c r="B1908" s="3"/>
      <c r="C1908" s="27"/>
      <c r="D1908" s="52"/>
      <c r="E1908" s="10"/>
      <c r="F1908" s="5"/>
      <c r="G1908" s="5"/>
    </row>
    <row r="1909" spans="1:7" s="56" customFormat="1" x14ac:dyDescent="0.2">
      <c r="A1909" s="40"/>
      <c r="B1909" s="3"/>
      <c r="C1909" s="27"/>
      <c r="D1909" s="52"/>
      <c r="E1909" s="10"/>
      <c r="F1909" s="5"/>
      <c r="G1909" s="5"/>
    </row>
    <row r="1910" spans="1:7" s="56" customFormat="1" x14ac:dyDescent="0.2">
      <c r="A1910" s="40"/>
      <c r="B1910" s="3"/>
      <c r="C1910" s="27"/>
      <c r="D1910" s="52"/>
      <c r="E1910" s="10"/>
      <c r="F1910" s="5"/>
      <c r="G1910" s="5"/>
    </row>
    <row r="1911" spans="1:7" s="56" customFormat="1" x14ac:dyDescent="0.2">
      <c r="A1911" s="40"/>
      <c r="B1911" s="3"/>
      <c r="C1911" s="27"/>
      <c r="D1911" s="52"/>
      <c r="E1911" s="10"/>
      <c r="F1911" s="5"/>
      <c r="G1911" s="5"/>
    </row>
    <row r="1912" spans="1:7" s="56" customFormat="1" x14ac:dyDescent="0.2">
      <c r="A1912" s="40"/>
      <c r="B1912" s="3"/>
      <c r="C1912" s="27"/>
      <c r="D1912" s="52"/>
      <c r="E1912" s="10"/>
      <c r="F1912" s="5"/>
      <c r="G1912" s="5"/>
    </row>
    <row r="1913" spans="1:7" s="56" customFormat="1" x14ac:dyDescent="0.2">
      <c r="A1913" s="40"/>
      <c r="B1913" s="3"/>
      <c r="C1913" s="27"/>
      <c r="D1913" s="52"/>
      <c r="E1913" s="10"/>
      <c r="F1913" s="5"/>
      <c r="G1913" s="5"/>
    </row>
    <row r="1914" spans="1:7" s="56" customFormat="1" x14ac:dyDescent="0.2">
      <c r="A1914" s="40"/>
      <c r="B1914" s="3"/>
      <c r="C1914" s="27"/>
      <c r="D1914" s="52"/>
      <c r="E1914" s="10"/>
      <c r="F1914" s="5"/>
      <c r="G1914" s="5"/>
    </row>
    <row r="1915" spans="1:7" s="56" customFormat="1" x14ac:dyDescent="0.2">
      <c r="A1915" s="40"/>
      <c r="B1915" s="3"/>
      <c r="C1915" s="27"/>
      <c r="D1915" s="52"/>
      <c r="E1915" s="10"/>
      <c r="F1915" s="5"/>
      <c r="G1915" s="5"/>
    </row>
    <row r="1916" spans="1:7" s="56" customFormat="1" x14ac:dyDescent="0.2">
      <c r="A1916" s="40"/>
      <c r="B1916" s="3"/>
      <c r="C1916" s="27"/>
      <c r="D1916" s="52"/>
      <c r="E1916" s="10"/>
      <c r="F1916" s="5"/>
      <c r="G1916" s="5"/>
    </row>
    <row r="1917" spans="1:7" s="56" customFormat="1" x14ac:dyDescent="0.2">
      <c r="A1917" s="40"/>
      <c r="B1917" s="3"/>
      <c r="C1917" s="27"/>
      <c r="D1917" s="52"/>
      <c r="E1917" s="10"/>
      <c r="F1917" s="5"/>
      <c r="G1917" s="5"/>
    </row>
    <row r="1918" spans="1:7" s="56" customFormat="1" x14ac:dyDescent="0.2">
      <c r="A1918" s="40"/>
      <c r="B1918" s="3"/>
      <c r="C1918" s="27"/>
      <c r="D1918" s="52"/>
      <c r="E1918" s="10"/>
      <c r="F1918" s="5"/>
      <c r="G1918" s="5"/>
    </row>
    <row r="1919" spans="1:7" s="56" customFormat="1" x14ac:dyDescent="0.2">
      <c r="A1919" s="40"/>
      <c r="B1919" s="3"/>
      <c r="C1919" s="27"/>
      <c r="D1919" s="52"/>
      <c r="E1919" s="10"/>
      <c r="F1919" s="5"/>
      <c r="G1919" s="5"/>
    </row>
    <row r="1920" spans="1:7" s="56" customFormat="1" x14ac:dyDescent="0.2">
      <c r="A1920" s="40"/>
      <c r="B1920" s="3"/>
      <c r="C1920" s="27"/>
      <c r="D1920" s="52"/>
      <c r="E1920" s="10"/>
      <c r="F1920" s="5"/>
      <c r="G1920" s="5"/>
    </row>
    <row r="1921" spans="1:7" s="56" customFormat="1" x14ac:dyDescent="0.2">
      <c r="A1921" s="40"/>
      <c r="B1921" s="3"/>
      <c r="C1921" s="27"/>
      <c r="D1921" s="52"/>
      <c r="E1921" s="10"/>
      <c r="F1921" s="5"/>
      <c r="G1921" s="5"/>
    </row>
    <row r="1922" spans="1:7" s="56" customFormat="1" x14ac:dyDescent="0.2">
      <c r="A1922" s="40"/>
      <c r="B1922" s="3"/>
      <c r="C1922" s="27"/>
      <c r="D1922" s="52"/>
      <c r="E1922" s="10"/>
      <c r="F1922" s="5"/>
      <c r="G1922" s="5"/>
    </row>
    <row r="1923" spans="1:7" s="56" customFormat="1" x14ac:dyDescent="0.2">
      <c r="A1923" s="40"/>
      <c r="B1923" s="3"/>
      <c r="C1923" s="27"/>
      <c r="D1923" s="52"/>
      <c r="E1923" s="10"/>
      <c r="F1923" s="5"/>
      <c r="G1923" s="5"/>
    </row>
    <row r="1924" spans="1:7" s="56" customFormat="1" x14ac:dyDescent="0.2">
      <c r="A1924" s="40"/>
      <c r="B1924" s="3"/>
      <c r="C1924" s="27"/>
      <c r="D1924" s="52"/>
      <c r="E1924" s="10"/>
      <c r="F1924" s="5"/>
      <c r="G1924" s="5"/>
    </row>
    <row r="1925" spans="1:7" s="56" customFormat="1" x14ac:dyDescent="0.2">
      <c r="A1925" s="40"/>
      <c r="B1925" s="3"/>
      <c r="C1925" s="27"/>
      <c r="D1925" s="52"/>
      <c r="E1925" s="10"/>
      <c r="F1925" s="5"/>
      <c r="G1925" s="5"/>
    </row>
    <row r="1926" spans="1:7" s="56" customFormat="1" x14ac:dyDescent="0.2">
      <c r="A1926" s="40"/>
      <c r="B1926" s="3"/>
      <c r="C1926" s="27"/>
      <c r="D1926" s="52"/>
      <c r="E1926" s="10"/>
      <c r="F1926" s="5"/>
      <c r="G1926" s="5"/>
    </row>
    <row r="1927" spans="1:7" s="56" customFormat="1" x14ac:dyDescent="0.2">
      <c r="A1927" s="40"/>
      <c r="B1927" s="3"/>
      <c r="C1927" s="27"/>
      <c r="D1927" s="52"/>
      <c r="E1927" s="10"/>
      <c r="F1927" s="5"/>
      <c r="G1927" s="5"/>
    </row>
    <row r="1928" spans="1:7" s="56" customFormat="1" x14ac:dyDescent="0.2">
      <c r="A1928" s="40"/>
      <c r="B1928" s="3"/>
      <c r="C1928" s="27"/>
      <c r="D1928" s="52"/>
      <c r="E1928" s="10"/>
      <c r="F1928" s="5"/>
      <c r="G1928" s="5"/>
    </row>
    <row r="1929" spans="1:7" s="56" customFormat="1" x14ac:dyDescent="0.2">
      <c r="A1929" s="40"/>
      <c r="B1929" s="3"/>
      <c r="C1929" s="27"/>
      <c r="D1929" s="52"/>
      <c r="E1929" s="10"/>
      <c r="F1929" s="5"/>
      <c r="G1929" s="5"/>
    </row>
    <row r="1930" spans="1:7" s="56" customFormat="1" x14ac:dyDescent="0.2">
      <c r="A1930" s="40"/>
      <c r="B1930" s="3"/>
      <c r="C1930" s="27"/>
      <c r="D1930" s="52"/>
      <c r="E1930" s="10"/>
      <c r="F1930" s="5"/>
      <c r="G1930" s="5"/>
    </row>
    <row r="1931" spans="1:7" s="56" customFormat="1" x14ac:dyDescent="0.2">
      <c r="A1931" s="40"/>
      <c r="B1931" s="3"/>
      <c r="C1931" s="27"/>
      <c r="D1931" s="52"/>
      <c r="E1931" s="10"/>
      <c r="F1931" s="5"/>
      <c r="G1931" s="5"/>
    </row>
    <row r="1932" spans="1:7" s="56" customFormat="1" x14ac:dyDescent="0.2">
      <c r="A1932" s="40"/>
      <c r="B1932" s="3"/>
      <c r="C1932" s="27"/>
      <c r="D1932" s="52"/>
      <c r="E1932" s="10"/>
      <c r="F1932" s="5"/>
      <c r="G1932" s="5"/>
    </row>
    <row r="1933" spans="1:7" s="56" customFormat="1" x14ac:dyDescent="0.2">
      <c r="A1933" s="40"/>
      <c r="B1933" s="3"/>
      <c r="C1933" s="27"/>
      <c r="D1933" s="52"/>
      <c r="E1933" s="10"/>
      <c r="F1933" s="5"/>
      <c r="G1933" s="5"/>
    </row>
    <row r="1934" spans="1:7" s="56" customFormat="1" x14ac:dyDescent="0.2">
      <c r="A1934" s="40"/>
      <c r="B1934" s="3"/>
      <c r="C1934" s="27"/>
      <c r="D1934" s="52"/>
      <c r="E1934" s="10"/>
      <c r="F1934" s="5"/>
      <c r="G1934" s="5"/>
    </row>
    <row r="1935" spans="1:7" s="56" customFormat="1" x14ac:dyDescent="0.2">
      <c r="A1935" s="40"/>
      <c r="B1935" s="3"/>
      <c r="C1935" s="27"/>
      <c r="D1935" s="52"/>
      <c r="E1935" s="10"/>
      <c r="F1935" s="5"/>
      <c r="G1935" s="5"/>
    </row>
    <row r="1936" spans="1:7" s="56" customFormat="1" x14ac:dyDescent="0.2">
      <c r="A1936" s="40"/>
      <c r="B1936" s="3"/>
      <c r="C1936" s="27"/>
      <c r="D1936" s="52"/>
      <c r="E1936" s="10"/>
      <c r="F1936" s="5"/>
      <c r="G1936" s="5"/>
    </row>
    <row r="1937" spans="1:7" s="56" customFormat="1" x14ac:dyDescent="0.2">
      <c r="A1937" s="40"/>
      <c r="B1937" s="3"/>
      <c r="C1937" s="27"/>
      <c r="D1937" s="52"/>
      <c r="E1937" s="10"/>
      <c r="F1937" s="5"/>
      <c r="G1937" s="5"/>
    </row>
    <row r="1938" spans="1:7" s="56" customFormat="1" x14ac:dyDescent="0.2">
      <c r="A1938" s="40"/>
      <c r="B1938" s="3"/>
      <c r="C1938" s="27"/>
      <c r="D1938" s="52"/>
      <c r="E1938" s="10"/>
      <c r="F1938" s="5"/>
      <c r="G1938" s="5"/>
    </row>
    <row r="1939" spans="1:7" s="56" customFormat="1" x14ac:dyDescent="0.2">
      <c r="A1939" s="40"/>
      <c r="B1939" s="3"/>
      <c r="C1939" s="27"/>
      <c r="D1939" s="52"/>
      <c r="E1939" s="10"/>
      <c r="F1939" s="5"/>
      <c r="G1939" s="5"/>
    </row>
    <row r="1940" spans="1:7" s="56" customFormat="1" x14ac:dyDescent="0.2">
      <c r="A1940" s="40"/>
      <c r="B1940" s="3"/>
      <c r="C1940" s="27"/>
      <c r="D1940" s="52"/>
      <c r="E1940" s="10"/>
      <c r="F1940" s="5"/>
      <c r="G1940" s="5"/>
    </row>
    <row r="1941" spans="1:7" s="56" customFormat="1" x14ac:dyDescent="0.2">
      <c r="A1941" s="40"/>
      <c r="B1941" s="3"/>
      <c r="C1941" s="27"/>
      <c r="D1941" s="52"/>
      <c r="E1941" s="10"/>
      <c r="F1941" s="5"/>
      <c r="G1941" s="5"/>
    </row>
    <row r="1942" spans="1:7" s="56" customFormat="1" x14ac:dyDescent="0.2">
      <c r="A1942" s="40"/>
      <c r="B1942" s="3"/>
      <c r="C1942" s="27"/>
      <c r="D1942" s="52"/>
      <c r="E1942" s="10"/>
      <c r="F1942" s="5"/>
      <c r="G1942" s="5"/>
    </row>
    <row r="1943" spans="1:7" s="56" customFormat="1" x14ac:dyDescent="0.2">
      <c r="A1943" s="40"/>
      <c r="B1943" s="3"/>
      <c r="C1943" s="27"/>
      <c r="D1943" s="52"/>
      <c r="E1943" s="10"/>
      <c r="F1943" s="5"/>
      <c r="G1943" s="5"/>
    </row>
    <row r="1944" spans="1:7" s="56" customFormat="1" x14ac:dyDescent="0.2">
      <c r="A1944" s="40"/>
      <c r="B1944" s="3"/>
      <c r="C1944" s="27"/>
      <c r="D1944" s="52"/>
      <c r="E1944" s="10"/>
      <c r="F1944" s="5"/>
      <c r="G1944" s="5"/>
    </row>
    <row r="1945" spans="1:7" s="56" customFormat="1" x14ac:dyDescent="0.2">
      <c r="A1945" s="40"/>
      <c r="B1945" s="3"/>
      <c r="C1945" s="27"/>
      <c r="D1945" s="52"/>
      <c r="E1945" s="10"/>
      <c r="F1945" s="5"/>
      <c r="G1945" s="5"/>
    </row>
    <row r="1946" spans="1:7" s="56" customFormat="1" x14ac:dyDescent="0.2">
      <c r="A1946" s="40"/>
      <c r="B1946" s="3"/>
      <c r="C1946" s="27"/>
      <c r="D1946" s="52"/>
      <c r="E1946" s="10"/>
      <c r="F1946" s="5"/>
      <c r="G1946" s="5"/>
    </row>
    <row r="1947" spans="1:7" s="56" customFormat="1" x14ac:dyDescent="0.2">
      <c r="A1947" s="40"/>
      <c r="B1947" s="3"/>
      <c r="C1947" s="27"/>
      <c r="D1947" s="52"/>
      <c r="E1947" s="10"/>
      <c r="F1947" s="5"/>
      <c r="G1947" s="5"/>
    </row>
    <row r="1948" spans="1:7" s="56" customFormat="1" x14ac:dyDescent="0.2">
      <c r="A1948" s="40"/>
      <c r="B1948" s="3"/>
      <c r="C1948" s="27"/>
      <c r="D1948" s="52"/>
      <c r="E1948" s="10"/>
      <c r="F1948" s="5"/>
      <c r="G1948" s="5"/>
    </row>
    <row r="1949" spans="1:7" s="56" customFormat="1" x14ac:dyDescent="0.2">
      <c r="A1949" s="40"/>
      <c r="B1949" s="3"/>
      <c r="C1949" s="27"/>
      <c r="D1949" s="52"/>
      <c r="E1949" s="10"/>
      <c r="F1949" s="5"/>
      <c r="G1949" s="5"/>
    </row>
    <row r="1950" spans="1:7" s="56" customFormat="1" x14ac:dyDescent="0.2">
      <c r="A1950" s="40"/>
      <c r="B1950" s="3"/>
      <c r="C1950" s="27"/>
      <c r="D1950" s="52"/>
      <c r="E1950" s="10"/>
      <c r="F1950" s="5"/>
      <c r="G1950" s="5"/>
    </row>
    <row r="1951" spans="1:7" s="56" customFormat="1" x14ac:dyDescent="0.2">
      <c r="A1951" s="40"/>
      <c r="B1951" s="3"/>
      <c r="C1951" s="27"/>
      <c r="D1951" s="52"/>
      <c r="E1951" s="10"/>
      <c r="F1951" s="5"/>
      <c r="G1951" s="5"/>
    </row>
    <row r="1952" spans="1:7" s="56" customFormat="1" x14ac:dyDescent="0.2">
      <c r="A1952" s="40"/>
      <c r="B1952" s="3"/>
      <c r="C1952" s="27"/>
      <c r="D1952" s="52"/>
      <c r="E1952" s="10"/>
      <c r="F1952" s="5"/>
      <c r="G1952" s="5"/>
    </row>
    <row r="1953" spans="1:7" s="56" customFormat="1" x14ac:dyDescent="0.2">
      <c r="A1953" s="40"/>
      <c r="B1953" s="3"/>
      <c r="C1953" s="27"/>
      <c r="D1953" s="52"/>
      <c r="E1953" s="10"/>
      <c r="F1953" s="5"/>
      <c r="G1953" s="5"/>
    </row>
    <row r="1954" spans="1:7" s="56" customFormat="1" x14ac:dyDescent="0.2">
      <c r="A1954" s="40"/>
      <c r="B1954" s="3"/>
      <c r="C1954" s="27"/>
      <c r="D1954" s="52"/>
      <c r="E1954" s="10"/>
      <c r="F1954" s="5"/>
      <c r="G1954" s="5"/>
    </row>
    <row r="1955" spans="1:7" s="56" customFormat="1" x14ac:dyDescent="0.2">
      <c r="A1955" s="40"/>
      <c r="B1955" s="3"/>
      <c r="C1955" s="27"/>
      <c r="D1955" s="52"/>
      <c r="E1955" s="10"/>
      <c r="F1955" s="5"/>
      <c r="G1955" s="5"/>
    </row>
    <row r="1956" spans="1:7" s="56" customFormat="1" x14ac:dyDescent="0.2">
      <c r="A1956" s="40"/>
      <c r="B1956" s="3"/>
      <c r="C1956" s="27"/>
      <c r="D1956" s="52"/>
      <c r="E1956" s="10"/>
      <c r="F1956" s="5"/>
      <c r="G1956" s="5"/>
    </row>
    <row r="1957" spans="1:7" s="56" customFormat="1" x14ac:dyDescent="0.2">
      <c r="A1957" s="40"/>
      <c r="B1957" s="3"/>
      <c r="C1957" s="27"/>
      <c r="D1957" s="52"/>
      <c r="E1957" s="10"/>
      <c r="F1957" s="5"/>
      <c r="G1957" s="5"/>
    </row>
    <row r="1958" spans="1:7" s="56" customFormat="1" x14ac:dyDescent="0.2">
      <c r="A1958" s="40"/>
      <c r="B1958" s="3"/>
      <c r="C1958" s="27"/>
      <c r="D1958" s="52"/>
      <c r="E1958" s="10"/>
      <c r="F1958" s="5"/>
      <c r="G1958" s="5"/>
    </row>
    <row r="1959" spans="1:7" s="56" customFormat="1" x14ac:dyDescent="0.2">
      <c r="A1959" s="40"/>
      <c r="B1959" s="3"/>
      <c r="C1959" s="27"/>
      <c r="D1959" s="52"/>
      <c r="E1959" s="10"/>
      <c r="F1959" s="5"/>
      <c r="G1959" s="5"/>
    </row>
    <row r="1960" spans="1:7" s="56" customFormat="1" x14ac:dyDescent="0.2">
      <c r="A1960" s="40"/>
      <c r="B1960" s="3"/>
      <c r="C1960" s="27"/>
      <c r="D1960" s="52"/>
      <c r="E1960" s="10"/>
      <c r="F1960" s="5"/>
      <c r="G1960" s="5"/>
    </row>
    <row r="1961" spans="1:7" s="56" customFormat="1" x14ac:dyDescent="0.2">
      <c r="A1961" s="40"/>
      <c r="B1961" s="3"/>
      <c r="C1961" s="27"/>
      <c r="D1961" s="52"/>
      <c r="E1961" s="10"/>
      <c r="F1961" s="5"/>
      <c r="G1961" s="5"/>
    </row>
    <row r="1962" spans="1:7" s="56" customFormat="1" x14ac:dyDescent="0.2">
      <c r="A1962" s="40"/>
      <c r="B1962" s="3"/>
      <c r="C1962" s="27"/>
      <c r="D1962" s="52"/>
      <c r="E1962" s="10"/>
      <c r="F1962" s="5"/>
      <c r="G1962" s="5"/>
    </row>
    <row r="1963" spans="1:7" s="56" customFormat="1" x14ac:dyDescent="0.2">
      <c r="A1963" s="40"/>
      <c r="B1963" s="3"/>
      <c r="C1963" s="27"/>
      <c r="D1963" s="52"/>
      <c r="E1963" s="10"/>
      <c r="F1963" s="5"/>
      <c r="G1963" s="5"/>
    </row>
    <row r="1964" spans="1:7" s="56" customFormat="1" x14ac:dyDescent="0.2">
      <c r="A1964" s="40"/>
      <c r="B1964" s="3"/>
      <c r="C1964" s="27"/>
      <c r="D1964" s="52"/>
      <c r="E1964" s="10"/>
      <c r="F1964" s="5"/>
      <c r="G1964" s="5"/>
    </row>
    <row r="1965" spans="1:7" s="56" customFormat="1" x14ac:dyDescent="0.2">
      <c r="A1965" s="40"/>
      <c r="B1965" s="3"/>
      <c r="C1965" s="27"/>
      <c r="D1965" s="52"/>
      <c r="E1965" s="10"/>
      <c r="F1965" s="5"/>
      <c r="G1965" s="5"/>
    </row>
    <row r="1966" spans="1:7" s="56" customFormat="1" x14ac:dyDescent="0.2">
      <c r="A1966" s="40"/>
      <c r="B1966" s="3"/>
      <c r="C1966" s="27"/>
      <c r="D1966" s="52"/>
      <c r="E1966" s="10"/>
      <c r="F1966" s="5"/>
      <c r="G1966" s="5"/>
    </row>
    <row r="1967" spans="1:7" s="56" customFormat="1" x14ac:dyDescent="0.2">
      <c r="A1967" s="40"/>
      <c r="B1967" s="3"/>
      <c r="C1967" s="27"/>
      <c r="D1967" s="52"/>
      <c r="E1967" s="10"/>
      <c r="F1967" s="5"/>
      <c r="G1967" s="5"/>
    </row>
    <row r="1968" spans="1:7" s="56" customFormat="1" x14ac:dyDescent="0.2">
      <c r="A1968" s="40"/>
      <c r="B1968" s="3"/>
      <c r="C1968" s="27"/>
      <c r="D1968" s="52"/>
      <c r="E1968" s="10"/>
      <c r="F1968" s="5"/>
      <c r="G1968" s="5"/>
    </row>
    <row r="1969" spans="1:7" s="56" customFormat="1" x14ac:dyDescent="0.2">
      <c r="A1969" s="40"/>
      <c r="B1969" s="3"/>
      <c r="C1969" s="27"/>
      <c r="D1969" s="52"/>
      <c r="E1969" s="10"/>
      <c r="F1969" s="5"/>
      <c r="G1969" s="5"/>
    </row>
    <row r="1970" spans="1:7" s="56" customFormat="1" x14ac:dyDescent="0.2">
      <c r="A1970" s="40"/>
      <c r="B1970" s="3"/>
      <c r="C1970" s="27"/>
      <c r="D1970" s="52"/>
      <c r="E1970" s="10"/>
      <c r="F1970" s="5"/>
      <c r="G1970" s="5"/>
    </row>
    <row r="1971" spans="1:7" s="56" customFormat="1" x14ac:dyDescent="0.2">
      <c r="A1971" s="40"/>
      <c r="B1971" s="3"/>
      <c r="C1971" s="27"/>
      <c r="D1971" s="52"/>
      <c r="E1971" s="10"/>
      <c r="F1971" s="5"/>
      <c r="G1971" s="5"/>
    </row>
    <row r="1972" spans="1:7" s="56" customFormat="1" x14ac:dyDescent="0.2">
      <c r="A1972" s="40"/>
      <c r="B1972" s="3"/>
      <c r="C1972" s="27"/>
      <c r="D1972" s="52"/>
      <c r="E1972" s="10"/>
      <c r="F1972" s="5"/>
      <c r="G1972" s="5"/>
    </row>
    <row r="1973" spans="1:7" s="56" customFormat="1" x14ac:dyDescent="0.2">
      <c r="A1973" s="40"/>
      <c r="B1973" s="3"/>
      <c r="C1973" s="27"/>
      <c r="D1973" s="52"/>
      <c r="E1973" s="10"/>
      <c r="F1973" s="5"/>
      <c r="G1973" s="5"/>
    </row>
    <row r="1974" spans="1:7" s="56" customFormat="1" x14ac:dyDescent="0.2">
      <c r="A1974" s="40"/>
      <c r="B1974" s="3"/>
      <c r="C1974" s="27"/>
      <c r="D1974" s="52"/>
      <c r="E1974" s="10"/>
      <c r="F1974" s="5"/>
      <c r="G1974" s="5"/>
    </row>
    <row r="1975" spans="1:7" s="56" customFormat="1" x14ac:dyDescent="0.2">
      <c r="A1975" s="40"/>
      <c r="B1975" s="3"/>
      <c r="C1975" s="27"/>
      <c r="D1975" s="52"/>
      <c r="E1975" s="10"/>
      <c r="F1975" s="5"/>
      <c r="G1975" s="5"/>
    </row>
    <row r="1976" spans="1:7" s="56" customFormat="1" x14ac:dyDescent="0.2">
      <c r="A1976" s="40"/>
      <c r="B1976" s="3"/>
      <c r="C1976" s="27"/>
      <c r="D1976" s="52"/>
      <c r="E1976" s="10"/>
      <c r="F1976" s="5"/>
      <c r="G1976" s="5"/>
    </row>
    <row r="1977" spans="1:7" s="56" customFormat="1" x14ac:dyDescent="0.2">
      <c r="A1977" s="40"/>
      <c r="B1977" s="3"/>
      <c r="C1977" s="27"/>
      <c r="D1977" s="52"/>
      <c r="E1977" s="10"/>
      <c r="F1977" s="5"/>
      <c r="G1977" s="5"/>
    </row>
    <row r="1978" spans="1:7" s="56" customFormat="1" x14ac:dyDescent="0.2">
      <c r="A1978" s="40"/>
      <c r="B1978" s="3"/>
      <c r="C1978" s="27"/>
      <c r="D1978" s="52"/>
      <c r="E1978" s="10"/>
      <c r="F1978" s="5"/>
      <c r="G1978" s="5"/>
    </row>
    <row r="1979" spans="1:7" s="56" customFormat="1" x14ac:dyDescent="0.2">
      <c r="A1979" s="40"/>
      <c r="B1979" s="3"/>
      <c r="C1979" s="27"/>
      <c r="D1979" s="52"/>
      <c r="E1979" s="10"/>
      <c r="F1979" s="5"/>
      <c r="G1979" s="5"/>
    </row>
    <row r="1980" spans="1:7" s="56" customFormat="1" x14ac:dyDescent="0.2">
      <c r="A1980" s="40"/>
      <c r="B1980" s="3"/>
      <c r="C1980" s="27"/>
      <c r="D1980" s="52"/>
      <c r="E1980" s="10"/>
      <c r="F1980" s="5"/>
      <c r="G1980" s="5"/>
    </row>
    <row r="1981" spans="1:7" s="56" customFormat="1" x14ac:dyDescent="0.2">
      <c r="A1981" s="40"/>
      <c r="B1981" s="3"/>
      <c r="C1981" s="27"/>
      <c r="D1981" s="52"/>
      <c r="E1981" s="10"/>
      <c r="F1981" s="5"/>
      <c r="G1981" s="5"/>
    </row>
    <row r="1982" spans="1:7" s="56" customFormat="1" x14ac:dyDescent="0.2">
      <c r="A1982" s="40"/>
      <c r="B1982" s="3"/>
      <c r="C1982" s="27"/>
      <c r="D1982" s="52"/>
      <c r="E1982" s="10"/>
      <c r="F1982" s="5"/>
      <c r="G1982" s="5"/>
    </row>
    <row r="1983" spans="1:7" s="56" customFormat="1" x14ac:dyDescent="0.2">
      <c r="A1983" s="40"/>
      <c r="B1983" s="3"/>
      <c r="C1983" s="27"/>
      <c r="D1983" s="52"/>
      <c r="E1983" s="10"/>
      <c r="F1983" s="5"/>
      <c r="G1983" s="5"/>
    </row>
    <row r="1984" spans="1:7" s="56" customFormat="1" x14ac:dyDescent="0.2">
      <c r="A1984" s="40"/>
      <c r="B1984" s="3"/>
      <c r="C1984" s="27"/>
      <c r="D1984" s="52"/>
      <c r="E1984" s="10"/>
      <c r="F1984" s="5"/>
      <c r="G1984" s="5"/>
    </row>
    <row r="1985" spans="1:7" s="56" customFormat="1" x14ac:dyDescent="0.2">
      <c r="A1985" s="40"/>
      <c r="B1985" s="3"/>
      <c r="C1985" s="27"/>
      <c r="D1985" s="52"/>
      <c r="E1985" s="10"/>
      <c r="F1985" s="5"/>
      <c r="G1985" s="5"/>
    </row>
    <row r="1986" spans="1:7" s="56" customFormat="1" x14ac:dyDescent="0.2">
      <c r="A1986" s="40"/>
      <c r="B1986" s="3"/>
      <c r="C1986" s="27"/>
      <c r="D1986" s="52"/>
      <c r="E1986" s="10"/>
      <c r="F1986" s="5"/>
      <c r="G1986" s="5"/>
    </row>
    <row r="1987" spans="1:7" s="56" customFormat="1" x14ac:dyDescent="0.2">
      <c r="A1987" s="40"/>
      <c r="B1987" s="3"/>
      <c r="C1987" s="27"/>
      <c r="D1987" s="52"/>
      <c r="E1987" s="10"/>
      <c r="F1987" s="5"/>
      <c r="G1987" s="5"/>
    </row>
    <row r="1988" spans="1:7" s="56" customFormat="1" x14ac:dyDescent="0.2">
      <c r="A1988" s="40"/>
      <c r="B1988" s="3"/>
      <c r="C1988" s="27"/>
      <c r="D1988" s="52"/>
      <c r="E1988" s="10"/>
      <c r="F1988" s="5"/>
      <c r="G1988" s="5"/>
    </row>
    <row r="1989" spans="1:7" s="56" customFormat="1" x14ac:dyDescent="0.2">
      <c r="A1989" s="40"/>
      <c r="B1989" s="3"/>
      <c r="C1989" s="27"/>
      <c r="D1989" s="52"/>
      <c r="E1989" s="10"/>
      <c r="F1989" s="5"/>
      <c r="G1989" s="5"/>
    </row>
    <row r="1990" spans="1:7" s="56" customFormat="1" x14ac:dyDescent="0.2">
      <c r="A1990" s="40"/>
      <c r="B1990" s="3"/>
      <c r="C1990" s="27"/>
      <c r="D1990" s="52"/>
      <c r="E1990" s="10"/>
      <c r="F1990" s="5"/>
      <c r="G1990" s="5"/>
    </row>
    <row r="1991" spans="1:7" s="56" customFormat="1" x14ac:dyDescent="0.2">
      <c r="A1991" s="40"/>
      <c r="B1991" s="3"/>
      <c r="C1991" s="27"/>
      <c r="D1991" s="52"/>
      <c r="E1991" s="10"/>
      <c r="F1991" s="5"/>
      <c r="G1991" s="5"/>
    </row>
    <row r="1992" spans="1:7" s="56" customFormat="1" x14ac:dyDescent="0.2">
      <c r="A1992" s="40"/>
      <c r="B1992" s="3"/>
      <c r="C1992" s="27"/>
      <c r="D1992" s="52"/>
      <c r="E1992" s="10"/>
      <c r="F1992" s="5"/>
      <c r="G1992" s="5"/>
    </row>
    <row r="1993" spans="1:7" s="56" customFormat="1" x14ac:dyDescent="0.2">
      <c r="A1993" s="40"/>
      <c r="B1993" s="3"/>
      <c r="C1993" s="27"/>
      <c r="D1993" s="52"/>
      <c r="E1993" s="10"/>
      <c r="F1993" s="5"/>
      <c r="G1993" s="5"/>
    </row>
    <row r="1994" spans="1:7" s="56" customFormat="1" x14ac:dyDescent="0.2">
      <c r="A1994" s="40"/>
      <c r="B1994" s="3"/>
      <c r="C1994" s="27"/>
      <c r="D1994" s="52"/>
      <c r="E1994" s="10"/>
      <c r="F1994" s="5"/>
      <c r="G1994" s="5"/>
    </row>
    <row r="1995" spans="1:7" s="56" customFormat="1" x14ac:dyDescent="0.2">
      <c r="A1995" s="40"/>
      <c r="B1995" s="3"/>
      <c r="C1995" s="27"/>
      <c r="D1995" s="52"/>
      <c r="E1995" s="10"/>
      <c r="F1995" s="5"/>
      <c r="G1995" s="5"/>
    </row>
    <row r="1996" spans="1:7" s="56" customFormat="1" x14ac:dyDescent="0.2">
      <c r="A1996" s="40"/>
      <c r="B1996" s="3"/>
      <c r="C1996" s="27"/>
      <c r="D1996" s="52"/>
      <c r="E1996" s="10"/>
      <c r="F1996" s="5"/>
      <c r="G1996" s="5"/>
    </row>
    <row r="1997" spans="1:7" s="56" customFormat="1" x14ac:dyDescent="0.2">
      <c r="A1997" s="40"/>
      <c r="B1997" s="3"/>
      <c r="C1997" s="27"/>
      <c r="D1997" s="52"/>
      <c r="E1997" s="10"/>
      <c r="F1997" s="5"/>
      <c r="G1997" s="5"/>
    </row>
    <row r="1998" spans="1:7" s="56" customFormat="1" x14ac:dyDescent="0.2">
      <c r="A1998" s="40"/>
      <c r="B1998" s="3"/>
      <c r="C1998" s="27"/>
      <c r="D1998" s="52"/>
      <c r="E1998" s="10"/>
      <c r="F1998" s="5"/>
      <c r="G1998" s="5"/>
    </row>
    <row r="1999" spans="1:7" s="56" customFormat="1" x14ac:dyDescent="0.2">
      <c r="A1999" s="40"/>
      <c r="B1999" s="3"/>
      <c r="C1999" s="27"/>
      <c r="D1999" s="52"/>
      <c r="E1999" s="10"/>
      <c r="F1999" s="5"/>
      <c r="G1999" s="5"/>
    </row>
    <row r="2000" spans="1:7" s="56" customFormat="1" x14ac:dyDescent="0.2">
      <c r="A2000" s="40"/>
      <c r="B2000" s="3"/>
      <c r="C2000" s="27"/>
      <c r="D2000" s="52"/>
      <c r="E2000" s="10"/>
      <c r="F2000" s="5"/>
      <c r="G2000" s="5"/>
    </row>
    <row r="2001" spans="1:7" s="56" customFormat="1" x14ac:dyDescent="0.2">
      <c r="A2001" s="40"/>
      <c r="B2001" s="3"/>
      <c r="C2001" s="27"/>
      <c r="D2001" s="52"/>
      <c r="E2001" s="10"/>
      <c r="F2001" s="5"/>
      <c r="G2001" s="5"/>
    </row>
    <row r="2002" spans="1:7" s="56" customFormat="1" x14ac:dyDescent="0.2">
      <c r="A2002" s="40"/>
      <c r="B2002" s="3"/>
      <c r="C2002" s="27"/>
      <c r="D2002" s="52"/>
      <c r="E2002" s="10"/>
      <c r="F2002" s="5"/>
      <c r="G2002" s="5"/>
    </row>
    <row r="2003" spans="1:7" s="56" customFormat="1" x14ac:dyDescent="0.2">
      <c r="A2003" s="40"/>
      <c r="B2003" s="3"/>
      <c r="C2003" s="27"/>
      <c r="D2003" s="52"/>
      <c r="E2003" s="10"/>
      <c r="F2003" s="5"/>
      <c r="G2003" s="5"/>
    </row>
    <row r="2004" spans="1:7" s="56" customFormat="1" x14ac:dyDescent="0.2">
      <c r="A2004" s="40"/>
      <c r="B2004" s="3"/>
      <c r="C2004" s="27"/>
      <c r="D2004" s="52"/>
      <c r="E2004" s="10"/>
      <c r="F2004" s="5"/>
      <c r="G2004" s="5"/>
    </row>
    <row r="2005" spans="1:7" s="56" customFormat="1" x14ac:dyDescent="0.2">
      <c r="A2005" s="40"/>
      <c r="B2005" s="3"/>
      <c r="C2005" s="27"/>
      <c r="D2005" s="52"/>
      <c r="E2005" s="10"/>
      <c r="F2005" s="5"/>
      <c r="G2005" s="5"/>
    </row>
    <row r="2006" spans="1:7" s="56" customFormat="1" x14ac:dyDescent="0.2">
      <c r="A2006" s="40"/>
      <c r="B2006" s="3"/>
      <c r="C2006" s="27"/>
      <c r="D2006" s="52"/>
      <c r="E2006" s="10"/>
      <c r="F2006" s="5"/>
      <c r="G2006" s="5"/>
    </row>
    <row r="2007" spans="1:7" s="56" customFormat="1" x14ac:dyDescent="0.2">
      <c r="A2007" s="40"/>
      <c r="B2007" s="3"/>
      <c r="C2007" s="27"/>
      <c r="D2007" s="52"/>
      <c r="E2007" s="10"/>
      <c r="F2007" s="5"/>
      <c r="G2007" s="5"/>
    </row>
    <row r="2008" spans="1:7" s="56" customFormat="1" x14ac:dyDescent="0.2">
      <c r="A2008" s="40"/>
      <c r="B2008" s="3"/>
      <c r="C2008" s="27"/>
      <c r="D2008" s="52"/>
      <c r="E2008" s="10"/>
      <c r="F2008" s="5"/>
      <c r="G2008" s="5"/>
    </row>
    <row r="2009" spans="1:7" s="56" customFormat="1" x14ac:dyDescent="0.2">
      <c r="A2009" s="40"/>
      <c r="B2009" s="3"/>
      <c r="C2009" s="27"/>
      <c r="D2009" s="52"/>
      <c r="E2009" s="10"/>
      <c r="F2009" s="5"/>
      <c r="G2009" s="5"/>
    </row>
    <row r="2010" spans="1:7" s="56" customFormat="1" x14ac:dyDescent="0.2">
      <c r="A2010" s="40"/>
      <c r="B2010" s="3"/>
      <c r="C2010" s="27"/>
      <c r="D2010" s="52"/>
      <c r="E2010" s="10"/>
      <c r="F2010" s="5"/>
      <c r="G2010" s="5"/>
    </row>
    <row r="2011" spans="1:7" s="56" customFormat="1" x14ac:dyDescent="0.2">
      <c r="A2011" s="40"/>
      <c r="B2011" s="3"/>
      <c r="C2011" s="27"/>
      <c r="D2011" s="52"/>
      <c r="E2011" s="10"/>
      <c r="F2011" s="5"/>
      <c r="G2011" s="5"/>
    </row>
    <row r="2012" spans="1:7" s="56" customFormat="1" x14ac:dyDescent="0.2">
      <c r="A2012" s="40"/>
      <c r="B2012" s="3"/>
      <c r="C2012" s="27"/>
      <c r="D2012" s="52"/>
      <c r="E2012" s="10"/>
      <c r="F2012" s="5"/>
      <c r="G2012" s="5"/>
    </row>
  </sheetData>
  <mergeCells count="415">
    <mergeCell ref="A6:K6"/>
    <mergeCell ref="A8:K8"/>
    <mergeCell ref="A10:K10"/>
    <mergeCell ref="A658:D658"/>
    <mergeCell ref="A659:D659"/>
    <mergeCell ref="A660:D660"/>
    <mergeCell ref="A661:D661"/>
    <mergeCell ref="A662:D662"/>
    <mergeCell ref="A663:D663"/>
    <mergeCell ref="A652:D652"/>
    <mergeCell ref="A653:D653"/>
    <mergeCell ref="A654:D654"/>
    <mergeCell ref="A655:D655"/>
    <mergeCell ref="A656:D656"/>
    <mergeCell ref="A657:D657"/>
    <mergeCell ref="A646:D646"/>
    <mergeCell ref="A647:D647"/>
    <mergeCell ref="A648:D648"/>
    <mergeCell ref="A649:D649"/>
    <mergeCell ref="A650:D650"/>
    <mergeCell ref="A651:D651"/>
    <mergeCell ref="A636:D636"/>
    <mergeCell ref="A637:D637"/>
    <mergeCell ref="A638:D638"/>
    <mergeCell ref="A639:U639"/>
    <mergeCell ref="A640:U640"/>
    <mergeCell ref="A643:U643"/>
    <mergeCell ref="A622:U622"/>
    <mergeCell ref="A631:D631"/>
    <mergeCell ref="A632:D632"/>
    <mergeCell ref="A633:D633"/>
    <mergeCell ref="A634:D634"/>
    <mergeCell ref="A635:D635"/>
    <mergeCell ref="A595:D595"/>
    <mergeCell ref="A596:D596"/>
    <mergeCell ref="A597:U597"/>
    <mergeCell ref="A598:U598"/>
    <mergeCell ref="A606:U606"/>
    <mergeCell ref="A614:U614"/>
    <mergeCell ref="A589:D589"/>
    <mergeCell ref="A590:D590"/>
    <mergeCell ref="A591:D591"/>
    <mergeCell ref="A592:D592"/>
    <mergeCell ref="A593:D593"/>
    <mergeCell ref="A594:D594"/>
    <mergeCell ref="A579:D579"/>
    <mergeCell ref="A580:D580"/>
    <mergeCell ref="A581:D581"/>
    <mergeCell ref="A582:D582"/>
    <mergeCell ref="A583:U583"/>
    <mergeCell ref="A584:U584"/>
    <mergeCell ref="A557:U557"/>
    <mergeCell ref="A564:U564"/>
    <mergeCell ref="A575:D575"/>
    <mergeCell ref="A576:D576"/>
    <mergeCell ref="A577:D577"/>
    <mergeCell ref="A578:D578"/>
    <mergeCell ref="A551:D551"/>
    <mergeCell ref="A552:D552"/>
    <mergeCell ref="A553:D553"/>
    <mergeCell ref="A554:D554"/>
    <mergeCell ref="A555:U555"/>
    <mergeCell ref="A556:U556"/>
    <mergeCell ref="A537:U537"/>
    <mergeCell ref="A546:D546"/>
    <mergeCell ref="A547:D547"/>
    <mergeCell ref="A548:D548"/>
    <mergeCell ref="A549:D549"/>
    <mergeCell ref="A550:D550"/>
    <mergeCell ref="A523:D523"/>
    <mergeCell ref="A524:D524"/>
    <mergeCell ref="A525:D525"/>
    <mergeCell ref="A526:U526"/>
    <mergeCell ref="A527:U527"/>
    <mergeCell ref="A530:U530"/>
    <mergeCell ref="A517:D517"/>
    <mergeCell ref="A518:D518"/>
    <mergeCell ref="A519:D519"/>
    <mergeCell ref="A520:D520"/>
    <mergeCell ref="A521:D521"/>
    <mergeCell ref="A522:D522"/>
    <mergeCell ref="A509:D509"/>
    <mergeCell ref="A510:D510"/>
    <mergeCell ref="A511:D511"/>
    <mergeCell ref="A512:U512"/>
    <mergeCell ref="A513:U513"/>
    <mergeCell ref="A515:U515"/>
    <mergeCell ref="A503:D503"/>
    <mergeCell ref="A504:D504"/>
    <mergeCell ref="A505:D505"/>
    <mergeCell ref="A506:D506"/>
    <mergeCell ref="A507:D507"/>
    <mergeCell ref="A508:D508"/>
    <mergeCell ref="A495:D495"/>
    <mergeCell ref="A496:D496"/>
    <mergeCell ref="A497:D497"/>
    <mergeCell ref="A498:U498"/>
    <mergeCell ref="A499:U499"/>
    <mergeCell ref="A501:U501"/>
    <mergeCell ref="A485:U485"/>
    <mergeCell ref="A490:D490"/>
    <mergeCell ref="A491:D491"/>
    <mergeCell ref="A492:D492"/>
    <mergeCell ref="A493:D493"/>
    <mergeCell ref="A494:D494"/>
    <mergeCell ref="A470:D470"/>
    <mergeCell ref="A471:D471"/>
    <mergeCell ref="A472:U472"/>
    <mergeCell ref="A473:U473"/>
    <mergeCell ref="A478:U478"/>
    <mergeCell ref="A481:U481"/>
    <mergeCell ref="A464:D464"/>
    <mergeCell ref="A465:D465"/>
    <mergeCell ref="A466:D466"/>
    <mergeCell ref="A467:D467"/>
    <mergeCell ref="A468:D468"/>
    <mergeCell ref="A469:D469"/>
    <mergeCell ref="A456:D456"/>
    <mergeCell ref="A457:D457"/>
    <mergeCell ref="A458:D458"/>
    <mergeCell ref="A459:U459"/>
    <mergeCell ref="A460:U460"/>
    <mergeCell ref="A462:U462"/>
    <mergeCell ref="A449:U449"/>
    <mergeCell ref="A451:D451"/>
    <mergeCell ref="A452:D452"/>
    <mergeCell ref="A453:D453"/>
    <mergeCell ref="A454:D454"/>
    <mergeCell ref="A455:D455"/>
    <mergeCell ref="A442:D442"/>
    <mergeCell ref="A443:D443"/>
    <mergeCell ref="A444:D444"/>
    <mergeCell ref="A445:D445"/>
    <mergeCell ref="A446:U446"/>
    <mergeCell ref="A447:U447"/>
    <mergeCell ref="A434:U434"/>
    <mergeCell ref="A435:U435"/>
    <mergeCell ref="A438:D438"/>
    <mergeCell ref="A439:D439"/>
    <mergeCell ref="A440:D440"/>
    <mergeCell ref="A441:D441"/>
    <mergeCell ref="A428:D428"/>
    <mergeCell ref="A429:D429"/>
    <mergeCell ref="A430:D430"/>
    <mergeCell ref="A431:D431"/>
    <mergeCell ref="A432:D432"/>
    <mergeCell ref="A433:D433"/>
    <mergeCell ref="A417:D417"/>
    <mergeCell ref="A418:D418"/>
    <mergeCell ref="A419:U419"/>
    <mergeCell ref="A420:U420"/>
    <mergeCell ref="A426:D426"/>
    <mergeCell ref="A427:D427"/>
    <mergeCell ref="A411:D411"/>
    <mergeCell ref="A412:D412"/>
    <mergeCell ref="A413:D413"/>
    <mergeCell ref="A414:D414"/>
    <mergeCell ref="A415:D415"/>
    <mergeCell ref="A416:D416"/>
    <mergeCell ref="A388:D388"/>
    <mergeCell ref="A389:D389"/>
    <mergeCell ref="A390:D390"/>
    <mergeCell ref="A391:D391"/>
    <mergeCell ref="A392:U392"/>
    <mergeCell ref="A393:U393"/>
    <mergeCell ref="A373:U373"/>
    <mergeCell ref="A374:U374"/>
    <mergeCell ref="A384:D384"/>
    <mergeCell ref="A385:D385"/>
    <mergeCell ref="A386:D386"/>
    <mergeCell ref="A387:D387"/>
    <mergeCell ref="A367:D367"/>
    <mergeCell ref="A368:D368"/>
    <mergeCell ref="A369:D369"/>
    <mergeCell ref="A370:D370"/>
    <mergeCell ref="A371:D371"/>
    <mergeCell ref="A372:D372"/>
    <mergeCell ref="A354:D354"/>
    <mergeCell ref="A355:D355"/>
    <mergeCell ref="A356:U356"/>
    <mergeCell ref="A357:U357"/>
    <mergeCell ref="A365:D365"/>
    <mergeCell ref="A366:D366"/>
    <mergeCell ref="A348:D348"/>
    <mergeCell ref="A349:D349"/>
    <mergeCell ref="A350:D350"/>
    <mergeCell ref="A351:D351"/>
    <mergeCell ref="A352:D352"/>
    <mergeCell ref="A353:D353"/>
    <mergeCell ref="A340:D340"/>
    <mergeCell ref="A341:D341"/>
    <mergeCell ref="A342:D342"/>
    <mergeCell ref="A343:D343"/>
    <mergeCell ref="A344:U344"/>
    <mergeCell ref="A347:D347"/>
    <mergeCell ref="A329:U329"/>
    <mergeCell ref="A335:D335"/>
    <mergeCell ref="A336:D336"/>
    <mergeCell ref="A337:D337"/>
    <mergeCell ref="A338:D338"/>
    <mergeCell ref="A339:D339"/>
    <mergeCell ref="A323:D323"/>
    <mergeCell ref="A324:D324"/>
    <mergeCell ref="A325:D325"/>
    <mergeCell ref="A326:D326"/>
    <mergeCell ref="A327:D327"/>
    <mergeCell ref="A328:U328"/>
    <mergeCell ref="A314:U314"/>
    <mergeCell ref="A315:U315"/>
    <mergeCell ref="A319:D319"/>
    <mergeCell ref="A320:D320"/>
    <mergeCell ref="A321:D321"/>
    <mergeCell ref="A322:D322"/>
    <mergeCell ref="A308:D308"/>
    <mergeCell ref="A309:D309"/>
    <mergeCell ref="A310:D310"/>
    <mergeCell ref="A311:D311"/>
    <mergeCell ref="A312:D312"/>
    <mergeCell ref="A313:D313"/>
    <mergeCell ref="A301:D301"/>
    <mergeCell ref="A302:U302"/>
    <mergeCell ref="A303:U303"/>
    <mergeCell ref="A305:D305"/>
    <mergeCell ref="A306:D306"/>
    <mergeCell ref="A307:D307"/>
    <mergeCell ref="A295:D295"/>
    <mergeCell ref="A296:D296"/>
    <mergeCell ref="A297:D297"/>
    <mergeCell ref="A298:D298"/>
    <mergeCell ref="A299:D299"/>
    <mergeCell ref="A300:D300"/>
    <mergeCell ref="A287:D287"/>
    <mergeCell ref="A288:D288"/>
    <mergeCell ref="A289:U289"/>
    <mergeCell ref="A290:U290"/>
    <mergeCell ref="A293:D293"/>
    <mergeCell ref="A294:D294"/>
    <mergeCell ref="A281:D281"/>
    <mergeCell ref="A282:D282"/>
    <mergeCell ref="A283:D283"/>
    <mergeCell ref="A284:D284"/>
    <mergeCell ref="A285:D285"/>
    <mergeCell ref="A286:D286"/>
    <mergeCell ref="A273:D273"/>
    <mergeCell ref="A274:D274"/>
    <mergeCell ref="A275:D275"/>
    <mergeCell ref="A276:D276"/>
    <mergeCell ref="A277:U277"/>
    <mergeCell ref="A280:D280"/>
    <mergeCell ref="A257:U257"/>
    <mergeCell ref="A268:D268"/>
    <mergeCell ref="A269:D269"/>
    <mergeCell ref="A270:D270"/>
    <mergeCell ref="A271:D271"/>
    <mergeCell ref="A272:D272"/>
    <mergeCell ref="A251:D251"/>
    <mergeCell ref="A252:D252"/>
    <mergeCell ref="A253:D253"/>
    <mergeCell ref="A254:D254"/>
    <mergeCell ref="A255:D255"/>
    <mergeCell ref="A256:D256"/>
    <mergeCell ref="A233:D233"/>
    <mergeCell ref="A234:D234"/>
    <mergeCell ref="A235:U235"/>
    <mergeCell ref="A248:D248"/>
    <mergeCell ref="A249:D249"/>
    <mergeCell ref="A250:D250"/>
    <mergeCell ref="A227:D227"/>
    <mergeCell ref="A228:D228"/>
    <mergeCell ref="A229:D229"/>
    <mergeCell ref="A230:D230"/>
    <mergeCell ref="A231:D231"/>
    <mergeCell ref="A232:D232"/>
    <mergeCell ref="A216:D216"/>
    <mergeCell ref="A217:D217"/>
    <mergeCell ref="A218:D218"/>
    <mergeCell ref="A219:U219"/>
    <mergeCell ref="A220:U220"/>
    <mergeCell ref="A226:D226"/>
    <mergeCell ref="A208:U208"/>
    <mergeCell ref="A211:D211"/>
    <mergeCell ref="A212:D212"/>
    <mergeCell ref="A213:D213"/>
    <mergeCell ref="A214:D214"/>
    <mergeCell ref="A215:D215"/>
    <mergeCell ref="A199:D199"/>
    <mergeCell ref="A200:D200"/>
    <mergeCell ref="A201:D201"/>
    <mergeCell ref="A202:D202"/>
    <mergeCell ref="A203:U203"/>
    <mergeCell ref="A204:U204"/>
    <mergeCell ref="A188:U188"/>
    <mergeCell ref="A189:U189"/>
    <mergeCell ref="A195:D195"/>
    <mergeCell ref="A196:D196"/>
    <mergeCell ref="A197:D197"/>
    <mergeCell ref="A198:D198"/>
    <mergeCell ref="A182:D182"/>
    <mergeCell ref="A183:D183"/>
    <mergeCell ref="A184:D184"/>
    <mergeCell ref="A185:D185"/>
    <mergeCell ref="A186:D186"/>
    <mergeCell ref="A187:D187"/>
    <mergeCell ref="A171:D171"/>
    <mergeCell ref="A172:D172"/>
    <mergeCell ref="A173:U173"/>
    <mergeCell ref="A174:U174"/>
    <mergeCell ref="A180:D180"/>
    <mergeCell ref="A181:D181"/>
    <mergeCell ref="A165:D165"/>
    <mergeCell ref="A166:D166"/>
    <mergeCell ref="A167:D167"/>
    <mergeCell ref="A168:D168"/>
    <mergeCell ref="A169:D169"/>
    <mergeCell ref="A170:D170"/>
    <mergeCell ref="A157:D157"/>
    <mergeCell ref="A158:D158"/>
    <mergeCell ref="A159:D159"/>
    <mergeCell ref="A160:D160"/>
    <mergeCell ref="A161:U161"/>
    <mergeCell ref="A162:U162"/>
    <mergeCell ref="A149:U149"/>
    <mergeCell ref="A151:U151"/>
    <mergeCell ref="A153:D153"/>
    <mergeCell ref="A154:D154"/>
    <mergeCell ref="A155:D155"/>
    <mergeCell ref="A156:D156"/>
    <mergeCell ref="A143:D143"/>
    <mergeCell ref="A144:D144"/>
    <mergeCell ref="A145:D145"/>
    <mergeCell ref="A146:D146"/>
    <mergeCell ref="A147:D147"/>
    <mergeCell ref="A148:U148"/>
    <mergeCell ref="A134:U134"/>
    <mergeCell ref="A135:U135"/>
    <mergeCell ref="A137:U137"/>
    <mergeCell ref="A140:D140"/>
    <mergeCell ref="A141:D141"/>
    <mergeCell ref="A142:D142"/>
    <mergeCell ref="A128:D128"/>
    <mergeCell ref="A129:D129"/>
    <mergeCell ref="A130:D130"/>
    <mergeCell ref="A131:D131"/>
    <mergeCell ref="A132:D132"/>
    <mergeCell ref="A133:D133"/>
    <mergeCell ref="A115:U115"/>
    <mergeCell ref="A118:U118"/>
    <mergeCell ref="A121:U121"/>
    <mergeCell ref="A123:U123"/>
    <mergeCell ref="A126:D126"/>
    <mergeCell ref="A127:D127"/>
    <mergeCell ref="A90:U90"/>
    <mergeCell ref="A94:U94"/>
    <mergeCell ref="A98:U98"/>
    <mergeCell ref="A102:U102"/>
    <mergeCell ref="A106:U106"/>
    <mergeCell ref="A110:U110"/>
    <mergeCell ref="A84:D84"/>
    <mergeCell ref="A85:D85"/>
    <mergeCell ref="A86:D86"/>
    <mergeCell ref="A87:D87"/>
    <mergeCell ref="A88:U88"/>
    <mergeCell ref="A89:U89"/>
    <mergeCell ref="A67:U67"/>
    <mergeCell ref="A68:U68"/>
    <mergeCell ref="A80:D80"/>
    <mergeCell ref="A81:D81"/>
    <mergeCell ref="A82:D82"/>
    <mergeCell ref="A83:D83"/>
    <mergeCell ref="A61:D61"/>
    <mergeCell ref="A62:D62"/>
    <mergeCell ref="A63:D63"/>
    <mergeCell ref="A64:D64"/>
    <mergeCell ref="A65:D65"/>
    <mergeCell ref="A66:U66"/>
    <mergeCell ref="A49:U49"/>
    <mergeCell ref="A52:U52"/>
    <mergeCell ref="A55:U55"/>
    <mergeCell ref="A58:D58"/>
    <mergeCell ref="A59:D59"/>
    <mergeCell ref="A60:D60"/>
    <mergeCell ref="O44:Q44"/>
    <mergeCell ref="R44:S44"/>
    <mergeCell ref="I43:S43"/>
    <mergeCell ref="T43:U44"/>
    <mergeCell ref="A47:U47"/>
    <mergeCell ref="A48:U48"/>
    <mergeCell ref="M16:N16"/>
    <mergeCell ref="M17:N17"/>
    <mergeCell ref="M18:N18"/>
    <mergeCell ref="M4:N4"/>
    <mergeCell ref="M5:N5"/>
    <mergeCell ref="M6:N7"/>
    <mergeCell ref="M8:N9"/>
    <mergeCell ref="M10:N11"/>
    <mergeCell ref="M12:N13"/>
    <mergeCell ref="M14:N14"/>
    <mergeCell ref="K17:L17"/>
    <mergeCell ref="K18:L18"/>
    <mergeCell ref="G28:I28"/>
    <mergeCell ref="H43:H45"/>
    <mergeCell ref="F30:G30"/>
    <mergeCell ref="F32:G32"/>
    <mergeCell ref="I44:K44"/>
    <mergeCell ref="L44:N44"/>
    <mergeCell ref="M15:N15"/>
    <mergeCell ref="A43:B43"/>
    <mergeCell ref="A44:A45"/>
    <mergeCell ref="B44:B45"/>
    <mergeCell ref="F43:F45"/>
    <mergeCell ref="G43:G45"/>
    <mergeCell ref="C43:C45"/>
    <mergeCell ref="D43:D45"/>
    <mergeCell ref="E43:E45"/>
    <mergeCell ref="K16:L16"/>
  </mergeCells>
  <phoneticPr fontId="0" type="noConversion"/>
  <pageMargins left="0.19685039370078741" right="0.19685039370078741" top="0.39370078740157483" bottom="0.39370078740157483" header="0.23622047244094491" footer="0.19685039370078741"/>
  <pageSetup paperSize="9" pageOrder="overThenDown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Журнал учета выполненных работ</vt:lpstr>
      <vt:lpstr>'Журнал учета выполненных работ'!Заголовки_для_печати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Елизавета Николаевна</dc:creator>
  <cp:lastModifiedBy>Кудинова Елизавета Николаевна</cp:lastModifiedBy>
  <cp:lastPrinted>2012-04-28T08:39:08Z</cp:lastPrinted>
  <dcterms:created xsi:type="dcterms:W3CDTF">2002-01-28T10:20:49Z</dcterms:created>
  <dcterms:modified xsi:type="dcterms:W3CDTF">2019-03-25T13:07:27Z</dcterms:modified>
</cp:coreProperties>
</file>